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mike\Dropbox (Lex Management)\Local Pro Funding\LPF Forms and Checklists\"/>
    </mc:Choice>
  </mc:AlternateContent>
  <xr:revisionPtr revIDLastSave="0" documentId="8_{F9D3514E-E226-488B-98D1-80B6BD1DCB1F}" xr6:coauthVersionLast="40" xr6:coauthVersionMax="40" xr10:uidLastSave="{00000000-0000-0000-0000-000000000000}"/>
  <bookViews>
    <workbookView xWindow="-120" yWindow="-120" windowWidth="29040" windowHeight="15840" tabRatio="560" xr2:uid="{00000000-000D-0000-FFFF-FFFF00000000}"/>
  </bookViews>
  <sheets>
    <sheet name="Borrower's Flip Eval" sheetId="17" r:id="rId1"/>
  </sheets>
  <definedNames>
    <definedName name="_xlnm.Print_Area" localSheetId="0">'Borrower''s Flip Eval'!$B$1:$I$50</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7" l="1"/>
  <c r="G6" i="17"/>
  <c r="C42" i="17"/>
  <c r="C44" i="17"/>
  <c r="I28" i="17"/>
  <c r="I27" i="17"/>
  <c r="O41" i="17"/>
  <c r="G45" i="17"/>
  <c r="N41" i="17"/>
  <c r="M41" i="17"/>
  <c r="O40" i="17"/>
  <c r="N40" i="17"/>
  <c r="M40" i="17"/>
  <c r="O39" i="17"/>
  <c r="N39" i="17"/>
  <c r="M39" i="17"/>
  <c r="O38" i="17"/>
  <c r="N38" i="17"/>
  <c r="M38" i="17"/>
  <c r="O37" i="17"/>
  <c r="N37" i="17"/>
  <c r="M37" i="17"/>
  <c r="O36" i="17"/>
  <c r="N36" i="17"/>
  <c r="M36" i="17"/>
  <c r="O35" i="17"/>
  <c r="N35" i="17"/>
  <c r="M35" i="17"/>
  <c r="O34" i="17"/>
  <c r="N34" i="17"/>
  <c r="M34" i="17"/>
  <c r="O33" i="17"/>
  <c r="N33" i="17"/>
  <c r="M33" i="17"/>
  <c r="O32" i="17"/>
  <c r="N32" i="17"/>
  <c r="M32" i="17"/>
  <c r="O31" i="17"/>
  <c r="P31" i="17"/>
  <c r="D48" i="17"/>
  <c r="C46" i="17"/>
  <c r="C38" i="17"/>
  <c r="C23" i="17"/>
  <c r="C22" i="17"/>
  <c r="C13" i="17"/>
  <c r="H14" i="17"/>
  <c r="H7" i="17"/>
  <c r="H5" i="17"/>
  <c r="H31" i="17"/>
  <c r="H38" i="17"/>
  <c r="H33" i="17"/>
  <c r="H30" i="17"/>
  <c r="H35" i="17"/>
  <c r="I29" i="17" s="1"/>
  <c r="D6" i="17"/>
  <c r="R33" i="17"/>
  <c r="P35" i="17"/>
  <c r="E6" i="17"/>
  <c r="C19" i="17"/>
  <c r="P34" i="17"/>
  <c r="C45" i="17"/>
  <c r="R36" i="17"/>
  <c r="R38" i="17"/>
  <c r="R39" i="17"/>
  <c r="Q37" i="17"/>
  <c r="P32" i="17"/>
  <c r="Q34" i="17"/>
  <c r="Q35" i="17"/>
  <c r="P38" i="17"/>
  <c r="R40" i="17"/>
  <c r="R41" i="17"/>
  <c r="Q31" i="17"/>
  <c r="R34" i="17"/>
  <c r="R35" i="17"/>
  <c r="Q36" i="17"/>
  <c r="P37" i="17"/>
  <c r="R37" i="17"/>
  <c r="Q38" i="17"/>
  <c r="P39" i="17"/>
  <c r="Q32" i="17"/>
  <c r="P33" i="17"/>
  <c r="Q39" i="17"/>
  <c r="P40" i="17"/>
  <c r="P41" i="17"/>
  <c r="P36" i="17"/>
  <c r="R32" i="17"/>
  <c r="Q33" i="17"/>
  <c r="Q40" i="17"/>
  <c r="Q41" i="17"/>
  <c r="S37" i="17"/>
  <c r="T37" i="17"/>
  <c r="S38" i="17"/>
  <c r="T38" i="17"/>
  <c r="S36" i="17"/>
  <c r="T36" i="17"/>
  <c r="S34" i="17"/>
  <c r="T34" i="17"/>
  <c r="S32" i="17"/>
  <c r="T32" i="17"/>
  <c r="S41" i="17"/>
  <c r="T41" i="17"/>
  <c r="S35" i="17"/>
  <c r="T35" i="17"/>
  <c r="S39" i="17"/>
  <c r="T39" i="17"/>
  <c r="S40" i="17"/>
  <c r="T40" i="17"/>
  <c r="S33" i="17"/>
  <c r="T33" i="17"/>
  <c r="H10" i="17" l="1"/>
  <c r="I10" i="17" s="1"/>
  <c r="C26" i="17"/>
  <c r="C28" i="17" s="1"/>
  <c r="H39" i="17" s="1"/>
  <c r="H34" i="17"/>
  <c r="C48" i="17"/>
  <c r="I31" i="17" l="1"/>
  <c r="I30" i="17"/>
  <c r="H15" i="17"/>
  <c r="H16" i="17" s="1"/>
  <c r="C49" i="17"/>
  <c r="H11" i="17"/>
  <c r="H12" i="17" s="1"/>
  <c r="H40" i="17"/>
  <c r="H6" i="17"/>
  <c r="H8" i="17" s="1"/>
  <c r="H18" i="17" s="1"/>
  <c r="H1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J Ferris</author>
  </authors>
  <commentList>
    <comment ref="C6" authorId="0" shapeId="0" xr:uid="{44A7B948-F4EA-4094-9030-50ED06FB50B5}">
      <text>
        <r>
          <rPr>
            <sz val="9"/>
            <color indexed="81"/>
            <rFont val="Tahoma"/>
            <family val="2"/>
          </rPr>
          <t xml:space="preserve">
Enter in all Project Details and LocalProFunding Loan to Value. Adjust this Purchase Price to change the Profit amount displayed in the Project Summary. </t>
        </r>
      </text>
    </comment>
    <comment ref="D10" authorId="0" shapeId="0" xr:uid="{75DD399D-6420-4A06-99F5-7A0893F87EE2}">
      <text>
        <r>
          <rPr>
            <b/>
            <sz val="9"/>
            <color indexed="81"/>
            <rFont val="Tahoma"/>
            <family val="2"/>
          </rPr>
          <t xml:space="preserve">
Desktop Appraisal: $150-175
Full Appraisal: $310-404
Survey: $339-671
https://www.homeadvisor.com/cost/architects-and-en…
Home insp: $350-400
https://www.thumbtack.com/p/home-inspection-cost
WDI insp: $80-100
https://www.thumbtack.com/p/termites-cost
Roof insp: $200-250
https://www.thumbtack.com/p/roof-inspection-cost
Structural insp: $100-200 per hr
https://www.thumbtack.com/p/structural-engineer-co…
Septic insp: $260-420
https://www.thumbtack.com/p/septic-inspection-cost
Well insp: $350-400
https://www.thumbtack.com/p/well-inspection-cost
Mold insp: $290-350
https://www.thumbtack.com/p/mold-inspection-cost
Asbestos insp: $230-330
https://www.thumbtack.com/p/asbestos-testing-cost
Radon insp: $230-330
https://www.thumbtack.com/p/radon-testing-cost</t>
        </r>
      </text>
    </comment>
    <comment ref="B18" authorId="0" shapeId="0" xr:uid="{334355FF-0937-4A7C-8E41-3DA6819FF613}">
      <text>
        <r>
          <rPr>
            <sz val="9"/>
            <color indexed="81"/>
            <rFont val="Tahoma"/>
            <family val="2"/>
          </rPr>
          <t xml:space="preserve">
Search, Examination, Clearing defects, etc.
</t>
        </r>
      </text>
    </comment>
    <comment ref="B19" authorId="0" shapeId="0" xr:uid="{9DE11F91-4724-47E5-927F-6B2F0F405B9A}">
      <text>
        <r>
          <rPr>
            <sz val="9"/>
            <color indexed="81"/>
            <rFont val="Tahoma"/>
            <family val="2"/>
          </rPr>
          <t xml:space="preserve">
Owners coverage, and Lender's coverage. Calculating at ARV x factor.
</t>
        </r>
      </text>
    </comment>
    <comment ref="D19" authorId="0" shapeId="0" xr:uid="{B53F6521-221A-4506-9BB3-B4EADF8EC06A}">
      <text>
        <r>
          <rPr>
            <sz val="9"/>
            <color indexed="81"/>
            <rFont val="Tahoma"/>
            <family val="2"/>
          </rPr>
          <t xml:space="preserve">
Title insurance cost factor of 0.50% typically covers owners and lenders title ins coverage.</t>
        </r>
      </text>
    </comment>
    <comment ref="B21" authorId="0" shapeId="0" xr:uid="{F0FE5EEC-DDDF-4D37-8F44-266C32A10E21}">
      <text>
        <r>
          <rPr>
            <sz val="9"/>
            <color indexed="81"/>
            <rFont val="Tahoma"/>
            <family val="2"/>
          </rPr>
          <t xml:space="preserve">
Courier, Wire fees, Cert of Good Standing, Tax Cert, etc.</t>
        </r>
      </text>
    </comment>
    <comment ref="D22" authorId="0" shapeId="0" xr:uid="{0970E3F1-12D5-44ED-93E5-4E1D09CA24E8}">
      <text>
        <r>
          <rPr>
            <sz val="9"/>
            <color indexed="81"/>
            <rFont val="Tahoma"/>
            <family val="2"/>
          </rPr>
          <t xml:space="preserve">
Delaware Transfer tax total 4% customarily split 50/50 between buyer and seller.
</t>
        </r>
      </text>
    </comment>
    <comment ref="B23" authorId="0" shapeId="0" xr:uid="{2D41F5E3-7BC7-4EEB-9B3A-FF051352973B}">
      <text>
        <r>
          <rPr>
            <sz val="9"/>
            <color indexed="81"/>
            <rFont val="Tahoma"/>
            <family val="2"/>
          </rPr>
          <t xml:space="preserve">
Annual property tax total, prorated by # months of project. 
</t>
        </r>
      </text>
    </comment>
    <comment ref="E23" authorId="0" shapeId="0" xr:uid="{FFDA51DA-7A55-4E82-8D5A-46A84DAA0F6B}">
      <text>
        <r>
          <rPr>
            <sz val="9"/>
            <color indexed="81"/>
            <rFont val="Tahoma"/>
            <family val="2"/>
          </rPr>
          <t xml:space="preserve">
Source: http://www.tax-rates.org/delaware/property-tax</t>
        </r>
      </text>
    </comment>
    <comment ref="B24" authorId="0" shapeId="0" xr:uid="{E388613F-97E3-481A-98A4-5241B028F9A7}">
      <text>
        <r>
          <rPr>
            <sz val="9"/>
            <color indexed="81"/>
            <rFont val="Tahoma"/>
            <family val="2"/>
          </rPr>
          <t xml:space="preserve">
Auction, Realtor, Finder, Consulting, etc.</t>
        </r>
      </text>
    </comment>
    <comment ref="B25" authorId="0" shapeId="0" xr:uid="{18ED8B9A-B07C-4A2A-838C-C226AEC6D55F}">
      <text>
        <r>
          <rPr>
            <sz val="9"/>
            <color indexed="81"/>
            <rFont val="Tahoma"/>
            <family val="2"/>
          </rPr>
          <t xml:space="preserve">
</t>
        </r>
        <r>
          <rPr>
            <b/>
            <sz val="9"/>
            <color indexed="81"/>
            <rFont val="Tahoma"/>
            <family val="2"/>
          </rPr>
          <t>CONTACT A LICENSED INSURANCE AGENT FOR ADVICE AND MORE ACCURATE INFO.</t>
        </r>
        <r>
          <rPr>
            <sz val="9"/>
            <color indexed="81"/>
            <rFont val="Tahoma"/>
            <family val="2"/>
          </rPr>
          <t xml:space="preserve">
</t>
        </r>
        <r>
          <rPr>
            <b/>
            <sz val="9"/>
            <color indexed="81"/>
            <rFont val="Tahoma"/>
            <family val="2"/>
          </rPr>
          <t>Your insurance should</t>
        </r>
        <r>
          <rPr>
            <sz val="9"/>
            <color indexed="81"/>
            <rFont val="Tahoma"/>
            <family val="2"/>
          </rPr>
          <t xml:space="preserve">: list any lender as loss payee/mortgagee, provide liability coverage to at least 1MM, provide property damage coverage equal to the greater of the loan amount or the full replacement value of the property with improvements and materials, cover the scope of work (rehab vs reconstruction/any structural), provide coverage as a vacant property for the entire period it is unoccupied. </t>
        </r>
        <r>
          <rPr>
            <b/>
            <sz val="9"/>
            <color indexed="81"/>
            <rFont val="Tahoma"/>
            <family val="2"/>
          </rPr>
          <t xml:space="preserve">Typically Builder's Risk insurance and a Liability rider or policy satisfy the isnsurance needed. 
</t>
        </r>
      </text>
    </comment>
    <comment ref="D30" authorId="0" shapeId="0" xr:uid="{959F9762-A513-4499-89C1-830A7567E0A5}">
      <text>
        <r>
          <rPr>
            <sz val="9"/>
            <color indexed="81"/>
            <rFont val="Tahoma"/>
            <family val="2"/>
          </rPr>
          <t xml:space="preserve">
The total amount of your actual estimates, or the total cost you can get the scope of work done for, or the cost for you to do the work yourself.
</t>
        </r>
      </text>
    </comment>
    <comment ref="E30" authorId="0" shapeId="0" xr:uid="{89D91547-F734-4727-9BDC-0CF28780C745}">
      <text>
        <r>
          <rPr>
            <sz val="9"/>
            <color indexed="81"/>
            <rFont val="Tahoma"/>
            <family val="2"/>
          </rPr>
          <t xml:space="preserve">
The reasonable 'investor cost' your total scope of work should be, including final cleaning and any staging. This should be the amount a lender, and you, want to have budgeted for the renovation in case "Your Cost" doesn’t work as planned.
</t>
        </r>
      </text>
    </comment>
    <comment ref="C31" authorId="0" shapeId="0" xr:uid="{32D5F510-D629-4C1E-B8BF-12C59DE93EE8}">
      <text>
        <r>
          <rPr>
            <sz val="9"/>
            <color indexed="81"/>
            <rFont val="Tahoma"/>
            <family val="2"/>
          </rPr>
          <t xml:space="preserve">
This is the conservative total renovation project cost which you are relying on.
</t>
        </r>
      </text>
    </comment>
    <comment ref="D32" authorId="0" shapeId="0" xr:uid="{F0CEB7CA-76F2-4C9A-A0C0-614855CD14F0}">
      <text>
        <r>
          <rPr>
            <sz val="9"/>
            <color indexed="81"/>
            <rFont val="Tahoma"/>
            <family val="2"/>
          </rPr>
          <t xml:space="preserve">
Unless the contractor will wait for payment, renovation work is paid for upfront by the borrower and reimbursed in scheduled draws from the loan's renovation escrow.
A Draw Schedule illustrates a detailed list of the work to be performed in each phase, and the associated costs for that work. Four draws from the loan's renovation escrow is common. </t>
        </r>
        <r>
          <rPr>
            <b/>
            <sz val="9"/>
            <color indexed="81"/>
            <rFont val="Tahoma"/>
            <family val="2"/>
          </rPr>
          <t xml:space="preserve">
Example: 
Draw 1
</t>
        </r>
        <r>
          <rPr>
            <sz val="9"/>
            <color indexed="81"/>
            <rFont val="Tahoma"/>
            <family val="2"/>
          </rPr>
          <t>Remove and replace roof    $6,000
Gut kitchen and baths    $1,000 
Clean out house/basement/garage    $2,500
Remove landscaping    $750
Haul away and dump fees included.</t>
        </r>
        <r>
          <rPr>
            <b/>
            <sz val="9"/>
            <color indexed="81"/>
            <rFont val="Tahoma"/>
            <family val="2"/>
          </rPr>
          <t xml:space="preserve">
Total cost for Draw 1- $10,000
</t>
        </r>
      </text>
    </comment>
    <comment ref="G33" authorId="0" shapeId="0" xr:uid="{B2EB4DAC-53E1-4BBE-B31A-DAA9CDF617F0}">
      <text>
        <r>
          <rPr>
            <sz val="9"/>
            <color indexed="81"/>
            <rFont val="Tahoma"/>
            <family val="2"/>
          </rPr>
          <t xml:space="preserve">
Loan amount goes first to renovation escrow, then the balance goes to purchase and settlement costs.
</t>
        </r>
      </text>
    </comment>
    <comment ref="G34" authorId="0" shapeId="0" xr:uid="{BB827E39-160C-4324-A73B-087F78929D21}">
      <text>
        <r>
          <rPr>
            <sz val="9"/>
            <color indexed="81"/>
            <rFont val="Tahoma"/>
            <family val="2"/>
          </rPr>
          <t xml:space="preserve">
Loan amount goes first to renovation escrow, then the balance goes to purchase and settlement costs.
</t>
        </r>
      </text>
    </comment>
    <comment ref="B36" authorId="0" shapeId="0" xr:uid="{DC05FB40-D99E-4DB4-90B5-95FFE30DE157}">
      <text>
        <r>
          <rPr>
            <sz val="9"/>
            <color indexed="81"/>
            <rFont val="Tahoma"/>
            <family val="2"/>
          </rPr>
          <t xml:space="preserve">
Gas, electric, water, sewer, etc.
</t>
        </r>
      </text>
    </comment>
    <comment ref="B37" authorId="0" shapeId="0" xr:uid="{AB15D601-5E42-4248-930B-1BE4306ED4B7}">
      <text>
        <r>
          <rPr>
            <sz val="9"/>
            <color indexed="81"/>
            <rFont val="Tahoma"/>
            <family val="2"/>
          </rPr>
          <t xml:space="preserve">
Rent, condo fees, homeowner association, etc.
</t>
        </r>
      </text>
    </comment>
    <comment ref="G39" authorId="0" shapeId="0" xr:uid="{9155C87C-61C3-4D54-8522-11FD810D7B6F}">
      <text>
        <r>
          <rPr>
            <b/>
            <sz val="9"/>
            <color indexed="81"/>
            <rFont val="Tahoma"/>
            <family val="2"/>
          </rPr>
          <t xml:space="preserve">
</t>
        </r>
        <r>
          <rPr>
            <sz val="9"/>
            <color indexed="81"/>
            <rFont val="Tahoma"/>
            <family val="2"/>
          </rPr>
          <t>Purchase + due diligence + settlement + renovation + carrying costs - loan amount = cash required.</t>
        </r>
      </text>
    </comment>
    <comment ref="C44" authorId="0" shapeId="0" xr:uid="{4C6081C4-C3DD-4C9C-8871-4B6E8836F8FA}">
      <text>
        <r>
          <rPr>
            <b/>
            <sz val="9"/>
            <color indexed="81"/>
            <rFont val="Tahoma"/>
            <family val="2"/>
          </rPr>
          <t xml:space="preserve">
</t>
        </r>
        <r>
          <rPr>
            <sz val="9"/>
            <color indexed="81"/>
            <rFont val="Tahoma"/>
            <family val="2"/>
          </rPr>
          <t xml:space="preserve">Within the range of reasonable resale amounts, this is the conservative resale amount which you are relying on. This amount should be net of price drops, settlement help, and home inspection repairs.
</t>
        </r>
      </text>
    </comment>
    <comment ref="D45" authorId="0" shapeId="0" xr:uid="{55602FFE-394E-4E61-A8EF-00F20A7AB41E}">
      <text>
        <r>
          <rPr>
            <sz val="9"/>
            <color indexed="81"/>
            <rFont val="Tahoma"/>
            <family val="2"/>
          </rPr>
          <t xml:space="preserve">
4% - 6% is typical
</t>
        </r>
      </text>
    </comment>
    <comment ref="D46" authorId="0" shapeId="0" xr:uid="{FB3C0CB9-2C8C-4D5F-88AA-436362EA52F3}">
      <text>
        <r>
          <rPr>
            <sz val="9"/>
            <color indexed="81"/>
            <rFont val="Tahoma"/>
            <family val="2"/>
          </rPr>
          <t xml:space="preserve">
Delaware Transfer tax total 4% customarily split 50/50 between buyer and seller. 2% + 2% = 4%</t>
        </r>
      </text>
    </comment>
  </commentList>
</comments>
</file>

<file path=xl/sharedStrings.xml><?xml version="1.0" encoding="utf-8"?>
<sst xmlns="http://schemas.openxmlformats.org/spreadsheetml/2006/main" count="106" uniqueCount="94">
  <si>
    <t>Realtor Fees</t>
  </si>
  <si>
    <t>Utilities</t>
  </si>
  <si>
    <t>Attorney Fees</t>
  </si>
  <si>
    <t>Inspections</t>
  </si>
  <si>
    <t>Title Insurance</t>
  </si>
  <si>
    <t>Recording</t>
  </si>
  <si>
    <t>Survey</t>
  </si>
  <si>
    <t>Points for this project</t>
  </si>
  <si>
    <t>Purchase Price</t>
  </si>
  <si>
    <t>PROJECT SUMMARY</t>
  </si>
  <si>
    <t>Resale Transfer Tax</t>
  </si>
  <si>
    <t>Substitute Cost</t>
  </si>
  <si>
    <t>Other</t>
  </si>
  <si>
    <t>Title Services</t>
  </si>
  <si>
    <t>Appraisal</t>
  </si>
  <si>
    <t>Additional Closing Fees</t>
  </si>
  <si>
    <t>Other Purchase Fees</t>
  </si>
  <si>
    <t>Total Due Diligence</t>
  </si>
  <si>
    <t>Total Purchase Settlement Costs</t>
  </si>
  <si>
    <t>Your Cost</t>
  </si>
  <si>
    <t>Acquisition Transfer Tax</t>
  </si>
  <si>
    <t>Total Renovation Costs</t>
  </si>
  <si>
    <t>Net From Resale Settlement</t>
  </si>
  <si>
    <t>PROJECT DETAILS</t>
  </si>
  <si>
    <t>Total Project Costs</t>
  </si>
  <si>
    <t>Funding from Loan</t>
  </si>
  <si>
    <t>Funding from Cash</t>
  </si>
  <si>
    <t>Total Project Funding</t>
  </si>
  <si>
    <t>Misc.</t>
  </si>
  <si>
    <t>Total Carrying Costs</t>
  </si>
  <si>
    <t>Factor</t>
  </si>
  <si>
    <t>PURCHASE PRICE</t>
  </si>
  <si>
    <t>PURCHASE DUE DILIGENCE</t>
  </si>
  <si>
    <t>PURCHASE SETTLEMENT COSTS</t>
  </si>
  <si>
    <t>RENOVATION COSTS</t>
  </si>
  <si>
    <t>CARRYING COSTS</t>
  </si>
  <si>
    <t>RESALE SETTLEMENT</t>
  </si>
  <si>
    <t>Portion of loan amt for purchase and settlement</t>
  </si>
  <si>
    <t>Portion of loan amt for renovation escrow</t>
  </si>
  <si>
    <t>Budgeted</t>
  </si>
  <si>
    <t>Profit</t>
  </si>
  <si>
    <t>Return</t>
  </si>
  <si>
    <t>ARV x 65% - Reno</t>
  </si>
  <si>
    <t>ARV x 70% - Reno</t>
  </si>
  <si>
    <t>common inspections and services,</t>
  </si>
  <si>
    <t>with cost ranges and helpful articles.</t>
  </si>
  <si>
    <r>
      <t xml:space="preserve"> </t>
    </r>
    <r>
      <rPr>
        <sz val="10"/>
        <rFont val="Arial"/>
        <family val="2"/>
      </rPr>
      <t>Hover cursor over red triangles</t>
    </r>
    <r>
      <rPr>
        <sz val="10"/>
        <color rgb="FF000000"/>
        <rFont val="Arial"/>
        <family val="2"/>
      </rPr>
      <t xml:space="preserve"> </t>
    </r>
    <r>
      <rPr>
        <sz val="10"/>
        <color rgb="FFFF0000"/>
        <rFont val="Wingdings 3"/>
        <family val="1"/>
        <charset val="2"/>
      </rPr>
      <t>{</t>
    </r>
    <r>
      <rPr>
        <sz val="10"/>
        <color rgb="FF000000"/>
        <rFont val="Arial"/>
        <family val="2"/>
      </rPr>
      <t xml:space="preserve"> </t>
    </r>
    <r>
      <rPr>
        <sz val="10"/>
        <rFont val="Arial"/>
        <family val="2"/>
      </rPr>
      <t>to see comments for that item.</t>
    </r>
  </si>
  <si>
    <r>
      <t xml:space="preserve"> Hover here </t>
    </r>
    <r>
      <rPr>
        <b/>
        <sz val="9"/>
        <color rgb="FFFF0000"/>
        <rFont val="Wingdings 3"/>
        <family val="1"/>
        <charset val="2"/>
      </rPr>
      <t>{</t>
    </r>
    <r>
      <rPr>
        <b/>
        <sz val="9"/>
        <rFont val="Calibri"/>
        <family val="2"/>
        <scheme val="minor"/>
      </rPr>
      <t xml:space="preserve"> for a list of</t>
    </r>
  </si>
  <si>
    <r>
      <t xml:space="preserve">ENTER </t>
    </r>
    <r>
      <rPr>
        <u/>
        <sz val="9"/>
        <color rgb="FF000000"/>
        <rFont val="Arial"/>
        <family val="2"/>
      </rPr>
      <t>actual annual $</t>
    </r>
  </si>
  <si>
    <r>
      <t xml:space="preserve">prop tax amt </t>
    </r>
    <r>
      <rPr>
        <b/>
        <sz val="9"/>
        <color rgb="FF000000"/>
        <rFont val="Arial"/>
        <family val="2"/>
      </rPr>
      <t xml:space="preserve">OR </t>
    </r>
    <r>
      <rPr>
        <sz val="9"/>
        <color rgb="FF000000"/>
        <rFont val="Arial"/>
        <family val="2"/>
      </rPr>
      <t>one of</t>
    </r>
  </si>
  <si>
    <r>
      <t>-Delaware Avg</t>
    </r>
    <r>
      <rPr>
        <b/>
        <sz val="9"/>
        <color rgb="FF000000"/>
        <rFont val="Arial"/>
        <family val="2"/>
      </rPr>
      <t xml:space="preserve">   0.0043</t>
    </r>
  </si>
  <si>
    <r>
      <t xml:space="preserve">-New Castle Avg   </t>
    </r>
    <r>
      <rPr>
        <b/>
        <sz val="9"/>
        <color rgb="FF000000"/>
        <rFont val="Arial"/>
        <family val="2"/>
      </rPr>
      <t>0.0055</t>
    </r>
  </si>
  <si>
    <r>
      <t xml:space="preserve">-Kent Avg  </t>
    </r>
    <r>
      <rPr>
        <b/>
        <sz val="9"/>
        <color rgb="FF000000"/>
        <rFont val="Arial"/>
        <family val="2"/>
      </rPr>
      <t xml:space="preserve"> 0.0040</t>
    </r>
  </si>
  <si>
    <r>
      <t xml:space="preserve">-Sussex Avg   </t>
    </r>
    <r>
      <rPr>
        <b/>
        <sz val="9"/>
        <color rgb="FF000000"/>
        <rFont val="Arial"/>
        <family val="2"/>
      </rPr>
      <t>0.0027</t>
    </r>
  </si>
  <si>
    <t>YES</t>
  </si>
  <si>
    <r>
      <t xml:space="preserve">the </t>
    </r>
    <r>
      <rPr>
        <u/>
        <sz val="9"/>
        <color rgb="FF000000"/>
        <rFont val="Arial"/>
        <family val="2"/>
      </rPr>
      <t>tax factors</t>
    </r>
    <r>
      <rPr>
        <sz val="9"/>
        <color rgb="FF000000"/>
        <rFont val="Arial"/>
        <family val="2"/>
      </rPr>
      <t xml:space="preserve"> below: </t>
    </r>
    <r>
      <rPr>
        <sz val="9"/>
        <color rgb="FFFF0000"/>
        <rFont val="Wingdings 3"/>
        <family val="1"/>
        <charset val="2"/>
      </rPr>
      <t>{</t>
    </r>
  </si>
  <si>
    <t xml:space="preserve">Annual Prop. Taxes (Prorata by Project Length) </t>
  </si>
  <si>
    <r>
      <rPr>
        <b/>
        <sz val="9"/>
        <color rgb="FF0351A1"/>
        <rFont val="DIN 1451 fette Breitschrift 193"/>
        <family val="2"/>
      </rPr>
      <t>Local</t>
    </r>
    <r>
      <rPr>
        <b/>
        <sz val="9"/>
        <color rgb="FF8B8B8B"/>
        <rFont val="DIN 1451 fette Breitschrift 193"/>
        <family val="2"/>
      </rPr>
      <t>Pro</t>
    </r>
    <r>
      <rPr>
        <b/>
        <sz val="9"/>
        <color rgb="FF041E42"/>
        <rFont val="DIN 1451 fette Breitschrift 193"/>
        <family val="2"/>
      </rPr>
      <t>Funding</t>
    </r>
    <r>
      <rPr>
        <sz val="11"/>
        <color theme="3" tint="-0.249977111117893"/>
        <rFont val="Calibri"/>
        <family val="2"/>
        <scheme val="minor"/>
      </rPr>
      <t xml:space="preserve"> </t>
    </r>
    <r>
      <rPr>
        <sz val="11"/>
        <rFont val="Calibri"/>
        <family val="2"/>
        <scheme val="minor"/>
      </rPr>
      <t>Est. Interest Due</t>
    </r>
  </si>
  <si>
    <t>Total estimated Borrower's cash-in requirement</t>
  </si>
  <si>
    <r>
      <rPr>
        <b/>
        <sz val="9"/>
        <color rgb="FF0351A1"/>
        <rFont val="DIN 1451 fette Breitschrift 193"/>
        <family val="2"/>
      </rPr>
      <t>Local</t>
    </r>
    <r>
      <rPr>
        <b/>
        <sz val="9"/>
        <color rgb="FF8B8B8B"/>
        <rFont val="DIN 1451 fette Breitschrift 193"/>
        <family val="2"/>
      </rPr>
      <t>Pro</t>
    </r>
    <r>
      <rPr>
        <b/>
        <sz val="9"/>
        <color rgb="FF041E42"/>
        <rFont val="DIN 1451 fette Breitschrift 193"/>
        <family val="2"/>
      </rPr>
      <t>Funding</t>
    </r>
    <r>
      <rPr>
        <sz val="11"/>
        <color theme="3" tint="-0.249977111117893"/>
        <rFont val="Calibri"/>
        <family val="2"/>
        <scheme val="minor"/>
      </rPr>
      <t xml:space="preserve"> </t>
    </r>
    <r>
      <rPr>
        <sz val="11"/>
        <rFont val="Calibri"/>
        <family val="2"/>
        <scheme val="minor"/>
      </rPr>
      <t>Loan Points</t>
    </r>
    <r>
      <rPr>
        <sz val="8"/>
        <color theme="3" tint="-0.249977111117893"/>
        <rFont val="DIN 1451 fette Breitschrift 193"/>
        <family val="2"/>
      </rPr>
      <t xml:space="preserve"> (Minimum $2,950)</t>
    </r>
  </si>
  <si>
    <t>Loan</t>
  </si>
  <si>
    <t>Interest</t>
  </si>
  <si>
    <t>Points</t>
  </si>
  <si>
    <t>ARV</t>
  </si>
  <si>
    <t>Rate</t>
  </si>
  <si>
    <t>Borrow more</t>
  </si>
  <si>
    <t>Pay more rate+points</t>
  </si>
  <si>
    <t>Net loan increase</t>
  </si>
  <si>
    <t>Net Resale Amount / After Repaired Value (ARV)</t>
  </si>
  <si>
    <t>Builder's Risk and Liability Insurance</t>
  </si>
  <si>
    <t>Max renovation costs paid out by borrower before a draw reimbursement</t>
  </si>
  <si>
    <t>Project Length (# of months from purchase to resale)</t>
  </si>
  <si>
    <r>
      <t>Renovation</t>
    </r>
    <r>
      <rPr>
        <sz val="11"/>
        <color rgb="FF000000"/>
        <rFont val="Calibri"/>
        <family val="2"/>
        <scheme val="minor"/>
      </rPr>
      <t xml:space="preserve"> Cost</t>
    </r>
  </si>
  <si>
    <t>Include loan information in this evaluation:</t>
  </si>
  <si>
    <t>NO</t>
  </si>
  <si>
    <t>Interest Rate</t>
  </si>
  <si>
    <t>Borrower's cash-in required at purchase settlement</t>
  </si>
  <si>
    <t>Max reno cash needed before a draw reimbursement</t>
  </si>
  <si>
    <t>Loan Allocation</t>
  </si>
  <si>
    <t>Total Loan Amount</t>
  </si>
  <si>
    <t>Cash Required From Borrower</t>
  </si>
  <si>
    <t>Home Inspection Repairs</t>
  </si>
  <si>
    <t>Resale Listing Price</t>
  </si>
  <si>
    <t>Resale Settlement Help</t>
  </si>
  <si>
    <t xml:space="preserve"> (profit/total project costs)</t>
  </si>
  <si>
    <t>ATTENTION</t>
  </si>
  <si>
    <t>We offer loans up to 75% LTV</t>
  </si>
  <si>
    <t>Local Pro Funding</t>
  </si>
  <si>
    <t xml:space="preserve">Loan to Value (LTV) </t>
  </si>
  <si>
    <r>
      <t xml:space="preserve"> Hover here </t>
    </r>
    <r>
      <rPr>
        <b/>
        <sz val="9"/>
        <color rgb="FFFF0000"/>
        <rFont val="Wingdings 3"/>
        <family val="1"/>
        <charset val="2"/>
      </rPr>
      <t>{</t>
    </r>
    <r>
      <rPr>
        <b/>
        <sz val="9"/>
        <rFont val="Calibri"/>
        <family val="2"/>
        <scheme val="minor"/>
      </rPr>
      <t xml:space="preserve"> for info about contractor payments, draws, and draw schedules.</t>
    </r>
  </si>
  <si>
    <t xml:space="preserve"> &lt;&lt;&lt;  Select YES or NO</t>
  </si>
  <si>
    <r>
      <rPr>
        <b/>
        <sz val="10"/>
        <color rgb="FF0000FF"/>
        <rFont val="Calibri"/>
        <family val="2"/>
        <scheme val="minor"/>
      </rPr>
      <t xml:space="preserve">Optional: </t>
    </r>
    <r>
      <rPr>
        <sz val="10"/>
        <color rgb="FF0000FF"/>
        <rFont val="Calibri"/>
        <family val="2"/>
        <scheme val="minor"/>
      </rPr>
      <t xml:space="preserve"> Enter loan dollar amount to calculate LTV %</t>
    </r>
  </si>
  <si>
    <t>Net Resale Amount (ARV After repaired value)</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</si>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</sst>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_);_(* \(#,##0.00\);_(* &quot;-&quot;_);_(@_)"/>
    <numFmt numFmtId="166" formatCode="_(* #,##0_);_(* \(#,##0\);_(* &quot;-&quot;??_);_(@_)"/>
    <numFmt numFmtId="167" formatCode="&quot;$&quot;#,##0"/>
    <numFmt numFmtId="168" formatCode="0.0%"/>
  </numFmts>
  <fonts count="45">
    <font>
      <sz val="10"/>
      <color rgb="FF000000"/>
      <name val="Arial"/>
    </font>
    <font>
      <sz val="10"/>
      <color rgb="FF000000"/>
      <name val="Arial"/>
      <family val="2"/>
    </font>
    <font>
      <sz val="9"/>
      <color indexed="81"/>
      <name val="Tahoma"/>
      <family val="2"/>
    </font>
    <font>
      <b/>
      <sz val="9"/>
      <color indexed="81"/>
      <name val="Tahoma"/>
      <family val="2"/>
    </font>
    <font>
      <sz val="10"/>
      <name val="Arial"/>
      <family val="2"/>
    </font>
    <font>
      <sz val="10"/>
      <color rgb="FFFF0000"/>
      <name val="Wingdings 3"/>
      <family val="1"/>
      <charset val="2"/>
    </font>
    <font>
      <sz val="9"/>
      <color rgb="FF000000"/>
      <name val="Arial"/>
      <family val="2"/>
    </font>
    <font>
      <sz val="11"/>
      <color rgb="FF000000"/>
      <name val="Calibri"/>
      <family val="2"/>
      <scheme val="minor"/>
    </font>
    <font>
      <b/>
      <sz val="12"/>
      <name val="Calibri"/>
      <family val="2"/>
      <scheme val="minor"/>
    </font>
    <font>
      <b/>
      <sz val="11"/>
      <color rgb="FF000000"/>
      <name val="Calibri"/>
      <family val="2"/>
      <scheme val="minor"/>
    </font>
    <font>
      <sz val="11"/>
      <name val="Calibri"/>
      <family val="2"/>
      <scheme val="minor"/>
    </font>
    <font>
      <b/>
      <sz val="11"/>
      <color rgb="FF0000FF"/>
      <name val="Calibri"/>
      <family val="2"/>
      <scheme val="minor"/>
    </font>
    <font>
      <b/>
      <sz val="11"/>
      <name val="Calibri"/>
      <family val="2"/>
      <scheme val="minor"/>
    </font>
    <font>
      <b/>
      <sz val="11"/>
      <color theme="0" tint="-0.14999847407452621"/>
      <name val="Calibri"/>
      <family val="2"/>
      <scheme val="minor"/>
    </font>
    <font>
      <sz val="12"/>
      <color theme="0" tint="-4.9989318521683403E-2"/>
      <name val="Calibri"/>
      <family val="2"/>
      <scheme val="minor"/>
    </font>
    <font>
      <sz val="10"/>
      <name val="Calibri"/>
      <family val="2"/>
      <scheme val="minor"/>
    </font>
    <font>
      <b/>
      <sz val="10"/>
      <name val="Calibri"/>
      <family val="2"/>
      <scheme val="minor"/>
    </font>
    <font>
      <sz val="11"/>
      <color theme="3" tint="-0.249977111117893"/>
      <name val="Calibri"/>
      <family val="2"/>
      <scheme val="minor"/>
    </font>
    <font>
      <sz val="9"/>
      <name val="Calibri"/>
      <family val="2"/>
      <scheme val="minor"/>
    </font>
    <font>
      <sz val="9"/>
      <color rgb="FFFF0000"/>
      <name val="Wingdings 3"/>
      <family val="1"/>
      <charset val="2"/>
    </font>
    <font>
      <b/>
      <sz val="9"/>
      <name val="Calibri"/>
      <family val="2"/>
      <scheme val="minor"/>
    </font>
    <font>
      <b/>
      <sz val="9"/>
      <color rgb="FFFF0000"/>
      <name val="Wingdings 3"/>
      <family val="1"/>
      <charset val="2"/>
    </font>
    <font>
      <sz val="8"/>
      <color theme="3" tint="-0.249977111117893"/>
      <name val="DIN 1451 fette Breitschrift 193"/>
      <family val="2"/>
    </font>
    <font>
      <b/>
      <sz val="9"/>
      <color rgb="FF0351A1"/>
      <name val="DIN 1451 fette Breitschrift 193"/>
      <family val="2"/>
    </font>
    <font>
      <b/>
      <sz val="9"/>
      <color rgb="FF8B8B8B"/>
      <name val="DIN 1451 fette Breitschrift 193"/>
      <family val="2"/>
    </font>
    <font>
      <b/>
      <sz val="9"/>
      <color rgb="FF041E42"/>
      <name val="DIN 1451 fette Breitschrift 193"/>
      <family val="2"/>
    </font>
    <font>
      <u/>
      <sz val="9"/>
      <color rgb="FF000000"/>
      <name val="Arial"/>
      <family val="2"/>
    </font>
    <font>
      <b/>
      <sz val="9"/>
      <color rgb="FF000000"/>
      <name val="Arial"/>
      <family val="2"/>
    </font>
    <font>
      <sz val="9"/>
      <color rgb="FF000000"/>
      <name val="Calibri"/>
      <family val="2"/>
      <scheme val="minor"/>
    </font>
    <font>
      <sz val="11"/>
      <color rgb="FF000000"/>
      <name val="Arial"/>
      <family val="2"/>
    </font>
    <font>
      <b/>
      <sz val="10"/>
      <color rgb="FF000000"/>
      <name val="Calibri"/>
      <family val="2"/>
      <scheme val="minor"/>
    </font>
    <font>
      <sz val="11"/>
      <color rgb="FF0070C0"/>
      <name val="Calibri"/>
      <family val="2"/>
      <scheme val="minor"/>
    </font>
    <font>
      <b/>
      <sz val="12"/>
      <color rgb="FF0000FF"/>
      <name val="Calibri"/>
      <family val="2"/>
      <scheme val="minor"/>
    </font>
    <font>
      <u val="singleAccounting"/>
      <sz val="11"/>
      <name val="Calibri"/>
      <family val="2"/>
      <scheme val="minor"/>
    </font>
    <font>
      <b/>
      <sz val="18"/>
      <color theme="0"/>
      <name val="Calibri"/>
      <family val="2"/>
      <scheme val="minor"/>
    </font>
    <font>
      <b/>
      <u/>
      <sz val="12"/>
      <color rgb="FF000000"/>
      <name val="Calibri"/>
      <family val="2"/>
      <scheme val="minor"/>
    </font>
    <font>
      <b/>
      <sz val="9"/>
      <color rgb="FF0000FF"/>
      <name val="Calibri"/>
      <family val="2"/>
      <scheme val="minor"/>
    </font>
    <font>
      <b/>
      <sz val="11"/>
      <color rgb="FFF0F8FF"/>
      <name val="Calibri"/>
      <family val="2"/>
      <scheme val="minor"/>
    </font>
    <font>
      <b/>
      <sz val="14"/>
      <color rgb="FFC00000"/>
      <name val="Calibri"/>
      <family val="2"/>
      <scheme val="minor"/>
    </font>
    <font>
      <b/>
      <sz val="14"/>
      <color rgb="FF0070C0"/>
      <name val="Calibri"/>
      <family val="2"/>
      <scheme val="minor"/>
    </font>
    <font>
      <b/>
      <sz val="16"/>
      <name val="Calibri"/>
      <family val="2"/>
      <scheme val="minor"/>
    </font>
    <font>
      <b/>
      <sz val="22"/>
      <color theme="4" tint="0.79998168889431442"/>
      <name val="Arial Black"/>
      <family val="2"/>
    </font>
    <font>
      <b/>
      <sz val="10"/>
      <color rgb="FF0000FF"/>
      <name val="Calibri"/>
      <family val="2"/>
      <scheme val="minor"/>
    </font>
    <font>
      <sz val="10"/>
      <color rgb="FF0000FF"/>
      <name val="Calibri"/>
      <family val="2"/>
      <scheme val="minor"/>
    </font>
    <font>
      <b/>
      <sz val="10"/>
      <color rgb="FFF0F8FF"/>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E0"/>
        <bgColor indexed="64"/>
      </patternFill>
    </fill>
    <fill>
      <patternFill patternType="solid">
        <fgColor theme="0" tint="-0.249977111117893"/>
        <bgColor indexed="64"/>
      </patternFill>
    </fill>
    <fill>
      <patternFill patternType="solid">
        <fgColor rgb="FFF0F8FF"/>
        <bgColor indexed="64"/>
      </patternFill>
    </fill>
    <fill>
      <patternFill patternType="solid">
        <fgColor rgb="FFFFFF00"/>
        <bgColor indexed="64"/>
      </patternFill>
    </fill>
  </fills>
  <borders count="3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auto="1"/>
      </top>
      <bottom style="thin">
        <color auto="1"/>
      </bottom>
      <diagonal/>
    </border>
    <border>
      <left style="mediumDashed">
        <color auto="1"/>
      </left>
      <right style="thick">
        <color indexed="64"/>
      </right>
      <top style="mediumDashed">
        <color auto="1"/>
      </top>
      <bottom/>
      <diagonal/>
    </border>
    <border>
      <left style="mediumDashed">
        <color auto="1"/>
      </left>
      <right style="thick">
        <color indexed="64"/>
      </right>
      <top/>
      <bottom/>
      <diagonal/>
    </border>
    <border>
      <left style="mediumDashed">
        <color auto="1"/>
      </left>
      <right style="thick">
        <color indexed="64"/>
      </right>
      <top/>
      <bottom style="mediumDashed">
        <color auto="1"/>
      </bottom>
      <diagonal/>
    </border>
    <border>
      <left/>
      <right style="thick">
        <color auto="1"/>
      </right>
      <top style="mediumDashed">
        <color indexed="64"/>
      </top>
      <bottom/>
      <diagonal/>
    </border>
    <border>
      <left/>
      <right style="thick">
        <color auto="1"/>
      </right>
      <top/>
      <bottom style="mediumDashed">
        <color indexed="64"/>
      </bottom>
      <diagonal/>
    </border>
    <border>
      <left/>
      <right style="thick">
        <color auto="1"/>
      </right>
      <top style="mediumDashed">
        <color indexed="64"/>
      </top>
      <bottom style="mediumDashed">
        <color indexed="64"/>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
      <left/>
      <right/>
      <top/>
      <bottom style="thin">
        <color indexed="64"/>
      </bottom>
      <diagonal/>
    </border>
    <border>
      <left/>
      <right/>
      <top style="mediumDashed">
        <color indexed="64"/>
      </top>
      <bottom/>
      <diagonal/>
    </border>
    <border>
      <left/>
      <right/>
      <top/>
      <bottom style="mediumDashed">
        <color indexed="64"/>
      </bottom>
      <diagonal/>
    </border>
    <border>
      <left/>
      <right/>
      <top style="mediumDashed">
        <color indexed="64"/>
      </top>
      <bottom style="mediumDash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rgb="FF0000FF"/>
      </top>
      <bottom style="thin">
        <color indexed="64"/>
      </bottom>
      <diagonal/>
    </border>
    <border>
      <left style="thin">
        <color indexed="64"/>
      </left>
      <right style="thin">
        <color indexed="64"/>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n">
        <color rgb="FF0000FF"/>
      </left>
      <right style="thin">
        <color rgb="FF0000FF"/>
      </right>
      <top style="thin">
        <color rgb="FF0000FF"/>
      </top>
      <bottom style="thin">
        <color rgb="FF0000FF"/>
      </bottom>
      <diagonal/>
    </border>
    <border>
      <left/>
      <right/>
      <top style="thin">
        <color rgb="FF0000FF"/>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2">
    <xf numFmtId="0" fontId="0" fillId="0" borderId="0" xfId="0"/>
    <xf numFmtId="0" fontId="0" fillId="0" borderId="0" xfId="0" applyProtection="1"/>
    <xf numFmtId="0" fontId="10" fillId="3" borderId="4" xfId="0" applyFont="1" applyFill="1" applyBorder="1" applyAlignment="1" applyProtection="1">
      <alignment horizontal="right"/>
    </xf>
    <xf numFmtId="41" fontId="10" fillId="3" borderId="0" xfId="1" applyNumberFormat="1" applyFont="1" applyFill="1" applyBorder="1" applyAlignment="1" applyProtection="1"/>
    <xf numFmtId="10" fontId="10" fillId="3" borderId="5" xfId="2" applyNumberFormat="1" applyFont="1" applyFill="1" applyBorder="1" applyAlignment="1" applyProtection="1">
      <alignment horizontal="center" vertical="center"/>
    </xf>
    <xf numFmtId="0" fontId="12" fillId="3" borderId="4" xfId="0" applyFont="1" applyFill="1" applyBorder="1" applyAlignment="1" applyProtection="1">
      <alignment horizontal="right"/>
    </xf>
    <xf numFmtId="41" fontId="12" fillId="3" borderId="0" xfId="1" applyNumberFormat="1" applyFont="1" applyFill="1" applyBorder="1" applyAlignment="1" applyProtection="1"/>
    <xf numFmtId="44" fontId="13" fillId="3" borderId="5" xfId="0" applyNumberFormat="1" applyFont="1" applyFill="1" applyBorder="1" applyAlignment="1" applyProtection="1">
      <alignment horizontal="center"/>
    </xf>
    <xf numFmtId="0" fontId="12" fillId="3" borderId="6" xfId="0" applyFont="1" applyFill="1" applyBorder="1" applyAlignment="1" applyProtection="1">
      <alignment horizontal="right" vertical="top"/>
    </xf>
    <xf numFmtId="10" fontId="10" fillId="3" borderId="0" xfId="2" applyNumberFormat="1" applyFont="1" applyFill="1" applyBorder="1" applyAlignment="1" applyProtection="1">
      <alignment horizontal="center" vertical="top"/>
    </xf>
    <xf numFmtId="0" fontId="12" fillId="3" borderId="4" xfId="0" applyFont="1" applyFill="1" applyBorder="1" applyAlignment="1" applyProtection="1">
      <alignment horizontal="right" vertical="top"/>
    </xf>
    <xf numFmtId="3" fontId="10" fillId="3" borderId="0" xfId="2" applyNumberFormat="1" applyFont="1" applyFill="1" applyBorder="1" applyAlignment="1" applyProtection="1">
      <alignment horizontal="center" vertical="top"/>
    </xf>
    <xf numFmtId="3" fontId="10" fillId="3" borderId="5" xfId="2" applyNumberFormat="1" applyFont="1" applyFill="1" applyBorder="1" applyAlignment="1" applyProtection="1">
      <alignment horizontal="center" vertical="top"/>
    </xf>
    <xf numFmtId="0" fontId="10" fillId="3" borderId="4" xfId="0" applyFont="1" applyFill="1" applyBorder="1" applyAlignment="1" applyProtection="1">
      <alignment horizontal="right" vertical="center"/>
    </xf>
    <xf numFmtId="41" fontId="10" fillId="4" borderId="9" xfId="1" applyNumberFormat="1" applyFont="1" applyFill="1" applyBorder="1" applyAlignment="1" applyProtection="1">
      <protection locked="0"/>
    </xf>
    <xf numFmtId="10" fontId="15" fillId="3" borderId="0" xfId="2" applyNumberFormat="1" applyFont="1" applyFill="1" applyBorder="1" applyAlignment="1" applyProtection="1">
      <alignment horizontal="left"/>
    </xf>
    <xf numFmtId="10" fontId="10" fillId="3" borderId="5" xfId="2" applyNumberFormat="1" applyFont="1" applyFill="1" applyBorder="1" applyAlignment="1" applyProtection="1">
      <alignment horizontal="center"/>
    </xf>
    <xf numFmtId="10" fontId="10" fillId="3" borderId="0" xfId="2" applyNumberFormat="1" applyFont="1" applyFill="1" applyBorder="1" applyAlignment="1" applyProtection="1">
      <alignment horizontal="center"/>
    </xf>
    <xf numFmtId="10" fontId="10" fillId="3" borderId="0" xfId="2" applyNumberFormat="1" applyFont="1" applyFill="1" applyBorder="1" applyAlignment="1" applyProtection="1">
      <alignment horizontal="center" vertical="center"/>
    </xf>
    <xf numFmtId="41" fontId="10" fillId="3" borderId="9" xfId="1" applyNumberFormat="1" applyFont="1" applyFill="1" applyBorder="1" applyAlignment="1" applyProtection="1"/>
    <xf numFmtId="10" fontId="10" fillId="3" borderId="5" xfId="2" applyNumberFormat="1" applyFont="1" applyFill="1" applyBorder="1" applyAlignment="1" applyProtection="1">
      <alignment horizontal="left"/>
    </xf>
    <xf numFmtId="0" fontId="7" fillId="3" borderId="4" xfId="0" applyFont="1" applyFill="1" applyBorder="1" applyAlignment="1" applyProtection="1">
      <alignment horizontal="right" vertical="center"/>
    </xf>
    <xf numFmtId="165" fontId="10" fillId="3" borderId="9" xfId="1" applyNumberFormat="1" applyFont="1" applyFill="1" applyBorder="1" applyAlignment="1" applyProtection="1"/>
    <xf numFmtId="0" fontId="12" fillId="3" borderId="4" xfId="0" applyFont="1" applyFill="1" applyBorder="1" applyAlignment="1" applyProtection="1">
      <alignment horizontal="right" vertical="center"/>
    </xf>
    <xf numFmtId="41" fontId="10" fillId="4" borderId="11" xfId="1" applyNumberFormat="1" applyFont="1" applyFill="1" applyBorder="1" applyAlignment="1" applyProtection="1">
      <protection locked="0"/>
    </xf>
    <xf numFmtId="41" fontId="10" fillId="4" borderId="12" xfId="1" applyNumberFormat="1" applyFont="1" applyFill="1" applyBorder="1" applyAlignment="1" applyProtection="1">
      <protection locked="0"/>
    </xf>
    <xf numFmtId="10" fontId="12" fillId="3" borderId="0" xfId="2" applyNumberFormat="1" applyFont="1" applyFill="1" applyBorder="1" applyAlignment="1" applyProtection="1">
      <alignment horizontal="center" vertical="top"/>
    </xf>
    <xf numFmtId="10" fontId="12" fillId="3" borderId="5" xfId="2" applyNumberFormat="1" applyFont="1" applyFill="1" applyBorder="1" applyAlignment="1" applyProtection="1">
      <alignment horizontal="center" vertical="top"/>
    </xf>
    <xf numFmtId="0" fontId="10" fillId="4" borderId="13" xfId="0" applyFont="1" applyFill="1" applyBorder="1" applyAlignment="1" applyProtection="1">
      <alignment horizontal="right" vertical="center"/>
      <protection locked="0"/>
    </xf>
    <xf numFmtId="0" fontId="22" fillId="3" borderId="4" xfId="0" applyFont="1" applyFill="1" applyBorder="1" applyAlignment="1" applyProtection="1">
      <alignment horizontal="right" vertical="center"/>
    </xf>
    <xf numFmtId="10" fontId="20" fillId="3" borderId="14" xfId="2" applyNumberFormat="1" applyFont="1" applyFill="1" applyBorder="1" applyAlignment="1" applyProtection="1">
      <alignment horizontal="left"/>
    </xf>
    <xf numFmtId="10" fontId="18" fillId="3" borderId="15" xfId="2" applyNumberFormat="1" applyFont="1" applyFill="1" applyBorder="1" applyAlignment="1" applyProtection="1">
      <alignment horizontal="left"/>
    </xf>
    <xf numFmtId="10" fontId="28" fillId="3" borderId="5" xfId="2" applyNumberFormat="1" applyFont="1" applyFill="1" applyBorder="1" applyAlignment="1" applyProtection="1"/>
    <xf numFmtId="10" fontId="18" fillId="3" borderId="15" xfId="2" quotePrefix="1" applyNumberFormat="1" applyFont="1" applyFill="1" applyBorder="1" applyAlignment="1" applyProtection="1"/>
    <xf numFmtId="10" fontId="18" fillId="3" borderId="15" xfId="2" quotePrefix="1" applyNumberFormat="1" applyFont="1" applyFill="1" applyBorder="1" applyAlignment="1" applyProtection="1">
      <alignment vertical="center"/>
    </xf>
    <xf numFmtId="10" fontId="18" fillId="3" borderId="16" xfId="2" quotePrefix="1" applyNumberFormat="1" applyFont="1" applyFill="1" applyBorder="1" applyAlignment="1" applyProtection="1">
      <alignment vertical="top"/>
    </xf>
    <xf numFmtId="41" fontId="10" fillId="3" borderId="9" xfId="1" applyNumberFormat="1" applyFont="1" applyFill="1" applyBorder="1" applyAlignment="1" applyProtection="1">
      <alignment horizontal="right"/>
    </xf>
    <xf numFmtId="10" fontId="10" fillId="4" borderId="11" xfId="2" applyNumberFormat="1" applyFont="1" applyFill="1" applyBorder="1" applyAlignment="1" applyProtection="1">
      <alignment horizontal="center"/>
      <protection locked="0"/>
    </xf>
    <xf numFmtId="41" fontId="10" fillId="4" borderId="9" xfId="1" applyNumberFormat="1" applyFont="1" applyFill="1" applyBorder="1" applyAlignment="1" applyProtection="1">
      <alignment vertical="center"/>
      <protection locked="0"/>
    </xf>
    <xf numFmtId="41" fontId="12" fillId="3" borderId="0" xfId="1" applyNumberFormat="1" applyFont="1" applyFill="1" applyBorder="1" applyAlignment="1" applyProtection="1">
      <alignment vertical="top"/>
    </xf>
    <xf numFmtId="0" fontId="8" fillId="5" borderId="4" xfId="0" applyFont="1" applyFill="1" applyBorder="1" applyAlignment="1" applyProtection="1">
      <alignment horizontal="right" vertical="center"/>
    </xf>
    <xf numFmtId="0" fontId="16" fillId="5" borderId="0" xfId="0" applyFont="1" applyFill="1" applyBorder="1" applyAlignment="1" applyProtection="1">
      <alignment horizontal="right" vertical="center"/>
    </xf>
    <xf numFmtId="44" fontId="16" fillId="5" borderId="0" xfId="0" applyNumberFormat="1" applyFont="1" applyFill="1" applyBorder="1" applyAlignment="1" applyProtection="1">
      <alignment horizontal="right" vertical="center"/>
    </xf>
    <xf numFmtId="44" fontId="16" fillId="5" borderId="5" xfId="0" applyNumberFormat="1" applyFont="1" applyFill="1" applyBorder="1" applyAlignment="1" applyProtection="1">
      <alignment horizontal="right" vertical="center"/>
    </xf>
    <xf numFmtId="0" fontId="12" fillId="3" borderId="0" xfId="0" applyFont="1" applyFill="1" applyBorder="1" applyAlignment="1" applyProtection="1">
      <alignment horizontal="right" vertical="top"/>
    </xf>
    <xf numFmtId="41" fontId="12" fillId="3" borderId="7" xfId="1" applyNumberFormat="1" applyFont="1" applyFill="1" applyBorder="1" applyAlignment="1" applyProtection="1">
      <alignment vertical="top"/>
    </xf>
    <xf numFmtId="41" fontId="10" fillId="3" borderId="0" xfId="1" applyNumberFormat="1" applyFont="1" applyFill="1" applyBorder="1" applyAlignment="1" applyProtection="1">
      <alignment vertical="center"/>
    </xf>
    <xf numFmtId="0" fontId="9" fillId="3" borderId="5" xfId="0" applyFont="1" applyFill="1" applyBorder="1" applyAlignment="1" applyProtection="1">
      <alignment vertical="top"/>
    </xf>
    <xf numFmtId="0" fontId="9" fillId="3" borderId="7" xfId="0" applyFont="1" applyFill="1" applyBorder="1" applyAlignment="1" applyProtection="1">
      <alignment vertical="top"/>
    </xf>
    <xf numFmtId="0" fontId="9" fillId="3" borderId="8" xfId="0" applyFont="1" applyFill="1" applyBorder="1" applyAlignment="1" applyProtection="1">
      <alignment vertical="top"/>
    </xf>
    <xf numFmtId="0" fontId="10" fillId="3" borderId="4" xfId="0" applyFont="1" applyFill="1" applyBorder="1" applyAlignment="1" applyProtection="1">
      <alignment horizontal="right" vertical="center" wrapText="1"/>
    </xf>
    <xf numFmtId="10" fontId="20" fillId="3" borderId="5" xfId="2" applyNumberFormat="1" applyFont="1" applyFill="1" applyBorder="1" applyAlignment="1" applyProtection="1">
      <alignment horizontal="center" vertical="center"/>
    </xf>
    <xf numFmtId="10" fontId="10" fillId="3" borderId="0" xfId="1" applyNumberFormat="1" applyFont="1" applyFill="1" applyBorder="1" applyAlignment="1" applyProtection="1">
      <alignment horizontal="right" vertical="top"/>
    </xf>
    <xf numFmtId="41" fontId="12" fillId="3" borderId="10" xfId="1" applyNumberFormat="1" applyFont="1" applyFill="1" applyBorder="1" applyAlignment="1" applyProtection="1"/>
    <xf numFmtId="41" fontId="10" fillId="3" borderId="0" xfId="1" applyNumberFormat="1" applyFont="1" applyFill="1" applyBorder="1" applyAlignment="1" applyProtection="1">
      <alignment horizontal="right"/>
    </xf>
    <xf numFmtId="41" fontId="12" fillId="3" borderId="0" xfId="1" applyNumberFormat="1" applyFont="1" applyFill="1" applyBorder="1" applyAlignment="1" applyProtection="1">
      <alignment horizontal="right"/>
    </xf>
    <xf numFmtId="0" fontId="10" fillId="3" borderId="4" xfId="0" applyFont="1" applyFill="1" applyBorder="1" applyAlignment="1" applyProtection="1">
      <alignment horizontal="right" vertical="top"/>
    </xf>
    <xf numFmtId="10" fontId="11" fillId="3" borderId="5" xfId="2" applyNumberFormat="1" applyFont="1" applyFill="1" applyBorder="1" applyAlignment="1" applyProtection="1">
      <alignment horizontal="left"/>
    </xf>
    <xf numFmtId="41" fontId="10" fillId="3" borderId="5" xfId="2" applyNumberFormat="1" applyFont="1" applyFill="1" applyBorder="1" applyAlignment="1" applyProtection="1">
      <alignment horizontal="left"/>
    </xf>
    <xf numFmtId="10" fontId="9" fillId="3" borderId="5" xfId="2" applyNumberFormat="1" applyFont="1" applyFill="1" applyBorder="1" applyAlignment="1" applyProtection="1">
      <alignment horizontal="center"/>
    </xf>
    <xf numFmtId="9" fontId="18" fillId="3" borderId="5" xfId="2" applyFont="1" applyFill="1" applyBorder="1" applyAlignment="1" applyProtection="1">
      <alignment horizontal="left"/>
    </xf>
    <xf numFmtId="10" fontId="7" fillId="3" borderId="5" xfId="2" applyNumberFormat="1" applyFont="1" applyFill="1" applyBorder="1" applyAlignment="1" applyProtection="1">
      <alignment horizontal="left"/>
    </xf>
    <xf numFmtId="37" fontId="13" fillId="3" borderId="5" xfId="0" applyNumberFormat="1" applyFont="1" applyFill="1" applyBorder="1" applyAlignment="1" applyProtection="1">
      <alignment horizontal="center"/>
    </xf>
    <xf numFmtId="10" fontId="10" fillId="4" borderId="9" xfId="2" applyNumberFormat="1" applyFont="1" applyFill="1" applyBorder="1" applyAlignment="1" applyProtection="1">
      <alignment horizontal="right"/>
      <protection locked="0"/>
    </xf>
    <xf numFmtId="0" fontId="10" fillId="6" borderId="4" xfId="0" applyFont="1" applyFill="1" applyBorder="1" applyAlignment="1" applyProtection="1">
      <alignment horizontal="right"/>
    </xf>
    <xf numFmtId="41" fontId="10" fillId="6" borderId="0" xfId="3" applyNumberFormat="1" applyFont="1" applyFill="1" applyBorder="1" applyAlignment="1" applyProtection="1">
      <alignment horizontal="right"/>
    </xf>
    <xf numFmtId="41" fontId="33" fillId="6" borderId="0" xfId="1" applyNumberFormat="1" applyFont="1" applyFill="1" applyBorder="1" applyAlignment="1" applyProtection="1">
      <alignment horizontal="right"/>
    </xf>
    <xf numFmtId="41" fontId="10" fillId="6" borderId="0" xfId="1" applyNumberFormat="1" applyFont="1" applyFill="1" applyBorder="1" applyAlignment="1" applyProtection="1">
      <alignment horizontal="right"/>
    </xf>
    <xf numFmtId="10" fontId="12" fillId="6" borderId="4" xfId="2" applyNumberFormat="1" applyFont="1" applyFill="1" applyBorder="1" applyAlignment="1" applyProtection="1">
      <alignment horizontal="right"/>
    </xf>
    <xf numFmtId="0" fontId="12" fillId="6" borderId="4" xfId="0" applyFont="1" applyFill="1" applyBorder="1" applyAlignment="1" applyProtection="1">
      <alignment horizontal="right"/>
    </xf>
    <xf numFmtId="41" fontId="7" fillId="4" borderId="9" xfId="0" applyNumberFormat="1" applyFont="1" applyFill="1" applyBorder="1" applyAlignment="1" applyProtection="1">
      <alignment horizontal="center"/>
      <protection locked="0"/>
    </xf>
    <xf numFmtId="10" fontId="18" fillId="3" borderId="5" xfId="1" applyNumberFormat="1" applyFont="1" applyFill="1" applyBorder="1" applyAlignment="1" applyProtection="1">
      <alignment horizontal="left" vertical="center"/>
    </xf>
    <xf numFmtId="0" fontId="7" fillId="0" borderId="0" xfId="0" applyFont="1" applyAlignment="1" applyProtection="1">
      <alignment horizontal="center" vertical="center"/>
    </xf>
    <xf numFmtId="0" fontId="7" fillId="3" borderId="0" xfId="0" applyFont="1" applyFill="1" applyAlignment="1" applyProtection="1">
      <alignment horizontal="right"/>
    </xf>
    <xf numFmtId="0" fontId="7" fillId="0" borderId="0" xfId="0" applyFont="1" applyProtection="1"/>
    <xf numFmtId="0" fontId="9" fillId="0" borderId="0" xfId="0" applyFont="1" applyBorder="1" applyAlignment="1" applyProtection="1">
      <alignment horizontal="center" vertical="center"/>
    </xf>
    <xf numFmtId="0" fontId="7" fillId="0" borderId="0"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Border="1" applyProtection="1"/>
    <xf numFmtId="0" fontId="7" fillId="0" borderId="0" xfId="0" applyFont="1" applyAlignment="1" applyProtection="1">
      <alignment vertical="center"/>
    </xf>
    <xf numFmtId="0" fontId="9" fillId="0" borderId="0" xfId="0" applyFont="1" applyBorder="1" applyAlignment="1" applyProtection="1">
      <alignment vertical="center"/>
    </xf>
    <xf numFmtId="0" fontId="7" fillId="3" borderId="0" xfId="0" applyFont="1" applyFill="1" applyAlignment="1" applyProtection="1">
      <alignment vertical="center"/>
    </xf>
    <xf numFmtId="0" fontId="0" fillId="0" borderId="0" xfId="0" applyAlignment="1" applyProtection="1">
      <alignment vertical="center"/>
    </xf>
    <xf numFmtId="0" fontId="7" fillId="0" borderId="0" xfId="0" applyFont="1" applyAlignment="1" applyProtection="1">
      <alignment vertical="top"/>
    </xf>
    <xf numFmtId="0" fontId="9" fillId="0" borderId="0" xfId="0" applyFont="1" applyBorder="1" applyAlignment="1" applyProtection="1">
      <alignment vertical="top"/>
    </xf>
    <xf numFmtId="0" fontId="29" fillId="0" borderId="0" xfId="0" applyFont="1" applyProtection="1"/>
    <xf numFmtId="0" fontId="15" fillId="5" borderId="0" xfId="0" applyFont="1" applyFill="1" applyBorder="1" applyAlignment="1" applyProtection="1">
      <alignment horizontal="left" vertical="center"/>
    </xf>
    <xf numFmtId="0" fontId="12" fillId="5" borderId="5" xfId="0" applyFont="1" applyFill="1" applyBorder="1" applyAlignment="1" applyProtection="1">
      <alignment horizontal="right" vertical="center"/>
    </xf>
    <xf numFmtId="0" fontId="9" fillId="3" borderId="4" xfId="0" applyFont="1" applyFill="1" applyBorder="1" applyAlignment="1" applyProtection="1">
      <alignment horizontal="right"/>
    </xf>
    <xf numFmtId="0" fontId="9" fillId="3" borderId="0" xfId="0" applyFont="1" applyFill="1" applyBorder="1" applyAlignment="1" applyProtection="1">
      <alignment horizontal="right"/>
    </xf>
    <xf numFmtId="0" fontId="16" fillId="5" borderId="0" xfId="0" applyFont="1" applyFill="1" applyBorder="1" applyAlignment="1" applyProtection="1">
      <alignment horizontal="center" vertical="center"/>
    </xf>
    <xf numFmtId="41" fontId="9" fillId="3" borderId="0" xfId="0" applyNumberFormat="1" applyFont="1" applyFill="1" applyBorder="1" applyAlignment="1" applyProtection="1">
      <alignment horizontal="right"/>
    </xf>
    <xf numFmtId="0" fontId="7" fillId="0" borderId="0" xfId="0" applyFont="1" applyAlignment="1" applyProtection="1">
      <alignment horizontal="right"/>
    </xf>
    <xf numFmtId="0" fontId="7" fillId="6" borderId="4" xfId="0" applyFont="1" applyFill="1" applyBorder="1" applyAlignment="1" applyProtection="1">
      <alignment horizontal="right"/>
    </xf>
    <xf numFmtId="41" fontId="9" fillId="0" borderId="0" xfId="0" applyNumberFormat="1" applyFont="1" applyBorder="1" applyAlignment="1" applyProtection="1">
      <alignment vertical="center"/>
    </xf>
    <xf numFmtId="10" fontId="16" fillId="5" borderId="0" xfId="2" applyNumberFormat="1" applyFont="1" applyFill="1" applyBorder="1" applyAlignment="1" applyProtection="1">
      <alignment horizontal="right" vertical="center"/>
    </xf>
    <xf numFmtId="10" fontId="16" fillId="5" borderId="5" xfId="2" applyNumberFormat="1" applyFont="1" applyFill="1" applyBorder="1" applyAlignment="1" applyProtection="1">
      <alignment horizontal="right" vertical="center"/>
    </xf>
    <xf numFmtId="10" fontId="10" fillId="6" borderId="0" xfId="2" applyNumberFormat="1" applyFont="1" applyFill="1" applyBorder="1" applyAlignment="1" applyProtection="1">
      <alignment horizontal="right"/>
    </xf>
    <xf numFmtId="0" fontId="9" fillId="0" borderId="0" xfId="0" applyFont="1" applyBorder="1" applyAlignment="1" applyProtection="1">
      <alignment horizontal="center"/>
    </xf>
    <xf numFmtId="0" fontId="9" fillId="0" borderId="0" xfId="0" applyFont="1" applyFill="1" applyBorder="1" applyAlignment="1" applyProtection="1">
      <alignment vertical="center"/>
    </xf>
    <xf numFmtId="0" fontId="35" fillId="6" borderId="4" xfId="0" applyFont="1" applyFill="1" applyBorder="1" applyAlignment="1" applyProtection="1">
      <alignment horizontal="right"/>
    </xf>
    <xf numFmtId="0" fontId="9" fillId="6" borderId="0" xfId="0" applyFont="1" applyFill="1" applyBorder="1" applyAlignment="1" applyProtection="1"/>
    <xf numFmtId="0" fontId="9" fillId="6" borderId="5" xfId="0" applyFont="1" applyFill="1" applyBorder="1" applyAlignment="1" applyProtection="1"/>
    <xf numFmtId="0" fontId="9" fillId="0" borderId="0" xfId="0" applyFont="1" applyFill="1" applyBorder="1" applyProtection="1"/>
    <xf numFmtId="0" fontId="12" fillId="5" borderId="0" xfId="0" applyFont="1" applyFill="1" applyBorder="1" applyAlignment="1" applyProtection="1">
      <alignment horizontal="right" vertical="center"/>
    </xf>
    <xf numFmtId="0" fontId="9" fillId="6" borderId="4" xfId="0" applyFont="1" applyFill="1" applyBorder="1" applyAlignment="1" applyProtection="1"/>
    <xf numFmtId="0" fontId="9" fillId="6" borderId="0" xfId="0" applyFont="1" applyFill="1" applyBorder="1" applyAlignment="1" applyProtection="1">
      <alignment horizontal="right"/>
    </xf>
    <xf numFmtId="0" fontId="30" fillId="5" borderId="0" xfId="0" applyFont="1" applyFill="1" applyBorder="1" applyAlignment="1" applyProtection="1">
      <alignment horizontal="right" vertical="center"/>
    </xf>
    <xf numFmtId="0" fontId="30" fillId="5" borderId="5" xfId="0" applyFont="1" applyFill="1" applyBorder="1" applyAlignment="1" applyProtection="1">
      <alignment horizontal="right" vertical="center"/>
    </xf>
    <xf numFmtId="0" fontId="7" fillId="3" borderId="4" xfId="0" applyFont="1" applyFill="1" applyBorder="1" applyAlignment="1" applyProtection="1">
      <alignment horizontal="right"/>
    </xf>
    <xf numFmtId="10" fontId="37" fillId="3" borderId="0" xfId="2" applyNumberFormat="1" applyFont="1" applyFill="1" applyBorder="1" applyAlignment="1" applyProtection="1">
      <alignment horizontal="center"/>
    </xf>
    <xf numFmtId="10" fontId="37" fillId="3" borderId="5" xfId="2" applyNumberFormat="1" applyFont="1" applyFill="1" applyBorder="1" applyAlignment="1" applyProtection="1">
      <alignment horizontal="center"/>
    </xf>
    <xf numFmtId="0" fontId="7" fillId="0" borderId="0" xfId="0" applyFont="1" applyFill="1" applyProtection="1"/>
    <xf numFmtId="0" fontId="7" fillId="0" borderId="0" xfId="0" applyFont="1" applyAlignment="1" applyProtection="1">
      <alignment horizontal="center"/>
    </xf>
    <xf numFmtId="0" fontId="9" fillId="0" borderId="0" xfId="0" applyFont="1" applyFill="1" applyBorder="1" applyAlignment="1" applyProtection="1">
      <alignment horizontal="center"/>
    </xf>
    <xf numFmtId="0" fontId="7" fillId="0" borderId="0" xfId="0" applyFont="1" applyAlignment="1" applyProtection="1">
      <alignment horizontal="center" vertical="top"/>
    </xf>
    <xf numFmtId="0" fontId="9" fillId="0" borderId="0" xfId="0" applyFont="1" applyBorder="1" applyAlignment="1" applyProtection="1">
      <alignment horizontal="center" vertical="top"/>
    </xf>
    <xf numFmtId="0" fontId="9" fillId="0" borderId="0" xfId="0" applyFont="1" applyFill="1" applyBorder="1" applyAlignment="1" applyProtection="1">
      <alignment horizontal="center" vertical="top"/>
    </xf>
    <xf numFmtId="41" fontId="9" fillId="0" borderId="0" xfId="0" applyNumberFormat="1" applyFont="1" applyBorder="1" applyAlignment="1" applyProtection="1">
      <alignment horizontal="center"/>
    </xf>
    <xf numFmtId="10" fontId="9" fillId="0" borderId="0" xfId="2" applyNumberFormat="1" applyFont="1" applyFill="1" applyBorder="1" applyAlignment="1" applyProtection="1">
      <alignment horizontal="center"/>
    </xf>
    <xf numFmtId="0" fontId="0" fillId="0" borderId="0" xfId="0" applyFill="1" applyProtection="1"/>
    <xf numFmtId="0" fontId="29" fillId="0" borderId="0" xfId="0" applyFont="1" applyFill="1" applyProtection="1"/>
    <xf numFmtId="9" fontId="7" fillId="0" borderId="0" xfId="2" applyFont="1" applyFill="1" applyProtection="1"/>
    <xf numFmtId="0" fontId="7" fillId="0" borderId="0" xfId="0" applyFont="1" applyFill="1" applyAlignment="1" applyProtection="1">
      <alignment horizontal="right"/>
    </xf>
    <xf numFmtId="0" fontId="0" fillId="0" borderId="0" xfId="0" applyFill="1" applyAlignment="1" applyProtection="1">
      <alignment horizontal="right"/>
    </xf>
    <xf numFmtId="9" fontId="7" fillId="0" borderId="0" xfId="0" applyNumberFormat="1" applyFont="1" applyFill="1" applyProtection="1"/>
    <xf numFmtId="10" fontId="7" fillId="0" borderId="0" xfId="2" applyNumberFormat="1" applyFont="1" applyFill="1" applyProtection="1"/>
    <xf numFmtId="41" fontId="0" fillId="0" borderId="0" xfId="0" applyNumberFormat="1" applyFill="1" applyProtection="1"/>
    <xf numFmtId="166" fontId="0" fillId="0" borderId="0" xfId="0" applyNumberFormat="1" applyFill="1" applyProtection="1"/>
    <xf numFmtId="0" fontId="11" fillId="0" borderId="0" xfId="0" applyFont="1" applyFill="1" applyAlignment="1" applyProtection="1">
      <alignment horizontal="center"/>
    </xf>
    <xf numFmtId="0" fontId="7" fillId="3" borderId="0" xfId="0" applyFont="1" applyFill="1" applyAlignment="1" applyProtection="1"/>
    <xf numFmtId="0" fontId="9" fillId="3" borderId="4" xfId="0" applyFont="1" applyFill="1" applyBorder="1" applyAlignment="1" applyProtection="1"/>
    <xf numFmtId="0" fontId="9" fillId="3" borderId="0"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3" borderId="7" xfId="0" applyFont="1" applyFill="1" applyBorder="1" applyAlignment="1" applyProtection="1"/>
    <xf numFmtId="0" fontId="9" fillId="3" borderId="8" xfId="0" applyFont="1" applyFill="1" applyBorder="1" applyAlignment="1" applyProtection="1"/>
    <xf numFmtId="10" fontId="20" fillId="3" borderId="0" xfId="2" applyNumberFormat="1" applyFont="1" applyFill="1" applyBorder="1" applyAlignment="1" applyProtection="1">
      <alignment horizontal="center" vertical="center"/>
    </xf>
    <xf numFmtId="3" fontId="31" fillId="6" borderId="5" xfId="2" applyNumberFormat="1" applyFont="1" applyFill="1" applyBorder="1" applyAlignment="1" applyProtection="1">
      <alignment horizontal="distributed"/>
    </xf>
    <xf numFmtId="0" fontId="37" fillId="3" borderId="0" xfId="0" applyFont="1" applyFill="1" applyBorder="1" applyAlignment="1" applyProtection="1"/>
    <xf numFmtId="0" fontId="37" fillId="3" borderId="5" xfId="0" applyFont="1" applyFill="1" applyBorder="1" applyAlignment="1" applyProtection="1"/>
    <xf numFmtId="0" fontId="0" fillId="3" borderId="0" xfId="0" applyFill="1" applyBorder="1" applyAlignment="1" applyProtection="1"/>
    <xf numFmtId="0" fontId="0" fillId="3" borderId="5" xfId="0" applyFill="1" applyBorder="1" applyAlignment="1" applyProtection="1"/>
    <xf numFmtId="3" fontId="31" fillId="6" borderId="6" xfId="2" applyNumberFormat="1" applyFont="1" applyFill="1" applyBorder="1" applyAlignment="1" applyProtection="1">
      <alignment vertical="top"/>
    </xf>
    <xf numFmtId="3" fontId="31" fillId="6" borderId="7" xfId="2" applyNumberFormat="1" applyFont="1" applyFill="1" applyBorder="1" applyAlignment="1" applyProtection="1">
      <alignment vertical="top"/>
    </xf>
    <xf numFmtId="3" fontId="31" fillId="6" borderId="8" xfId="2" applyNumberFormat="1" applyFont="1" applyFill="1" applyBorder="1" applyAlignment="1" applyProtection="1">
      <alignment vertical="top"/>
    </xf>
    <xf numFmtId="0" fontId="7" fillId="0" borderId="0" xfId="0" applyFont="1" applyFill="1" applyAlignment="1" applyProtection="1"/>
    <xf numFmtId="0" fontId="9" fillId="0" borderId="0" xfId="0" applyFont="1" applyBorder="1" applyAlignment="1" applyProtection="1"/>
    <xf numFmtId="0" fontId="7" fillId="0" borderId="0" xfId="0" applyFont="1" applyAlignment="1" applyProtection="1"/>
    <xf numFmtId="167" fontId="10" fillId="6" borderId="5" xfId="2" applyNumberFormat="1" applyFont="1" applyFill="1" applyBorder="1" applyAlignment="1" applyProtection="1">
      <alignment horizontal="left" indent="1"/>
    </xf>
    <xf numFmtId="0" fontId="9" fillId="6" borderId="4" xfId="0" applyFont="1" applyFill="1" applyBorder="1" applyAlignment="1" applyProtection="1">
      <alignment vertical="center"/>
    </xf>
    <xf numFmtId="0" fontId="9" fillId="6" borderId="0" xfId="0" applyFont="1" applyFill="1" applyBorder="1" applyAlignment="1" applyProtection="1">
      <alignment vertical="center"/>
    </xf>
    <xf numFmtId="0" fontId="9" fillId="6" borderId="5" xfId="0" applyFont="1" applyFill="1" applyBorder="1" applyAlignment="1" applyProtection="1">
      <alignment vertical="center"/>
    </xf>
    <xf numFmtId="0" fontId="9" fillId="6" borderId="20" xfId="0" applyFont="1" applyFill="1" applyBorder="1" applyAlignment="1" applyProtection="1">
      <alignment vertical="top"/>
    </xf>
    <xf numFmtId="0" fontId="9" fillId="6" borderId="21" xfId="0" applyFont="1" applyFill="1" applyBorder="1" applyAlignment="1" applyProtection="1">
      <alignment vertical="top"/>
    </xf>
    <xf numFmtId="0" fontId="9" fillId="6" borderId="22" xfId="0" applyFont="1" applyFill="1" applyBorder="1" applyAlignment="1" applyProtection="1">
      <alignment vertical="top"/>
    </xf>
    <xf numFmtId="41" fontId="10" fillId="3" borderId="23" xfId="1" applyNumberFormat="1" applyFont="1" applyFill="1" applyBorder="1" applyAlignment="1" applyProtection="1"/>
    <xf numFmtId="41" fontId="10" fillId="3" borderId="23" xfId="1" applyNumberFormat="1" applyFont="1" applyFill="1" applyBorder="1" applyAlignment="1" applyProtection="1">
      <alignment horizontal="right"/>
    </xf>
    <xf numFmtId="10" fontId="10" fillId="4" borderId="11" xfId="2" applyNumberFormat="1" applyFont="1" applyFill="1" applyBorder="1" applyAlignment="1" applyProtection="1">
      <alignment horizontal="center" vertical="center"/>
      <protection locked="0"/>
    </xf>
    <xf numFmtId="10" fontId="10" fillId="4" borderId="21" xfId="2" applyNumberFormat="1" applyFont="1" applyFill="1" applyBorder="1" applyAlignment="1" applyProtection="1">
      <alignment horizontal="center" vertical="center"/>
      <protection locked="0"/>
    </xf>
    <xf numFmtId="164" fontId="10" fillId="4" borderId="26" xfId="2" applyNumberFormat="1" applyFont="1" applyFill="1" applyBorder="1" applyAlignment="1" applyProtection="1">
      <alignment horizontal="center"/>
      <protection locked="0"/>
    </xf>
    <xf numFmtId="0" fontId="28" fillId="3" borderId="0" xfId="0" applyFont="1" applyFill="1" applyBorder="1" applyAlignment="1" applyProtection="1"/>
    <xf numFmtId="0" fontId="9" fillId="3" borderId="0" xfId="0" applyFont="1" applyFill="1" applyBorder="1" applyAlignment="1" applyProtection="1">
      <alignment vertical="top"/>
    </xf>
    <xf numFmtId="41" fontId="12" fillId="4" borderId="9" xfId="1" applyNumberFormat="1" applyFont="1" applyFill="1" applyBorder="1" applyAlignment="1" applyProtection="1">
      <alignment vertical="top"/>
      <protection locked="0"/>
    </xf>
    <xf numFmtId="41" fontId="12" fillId="4" borderId="9" xfId="1" applyNumberFormat="1" applyFont="1" applyFill="1" applyBorder="1" applyAlignment="1" applyProtection="1">
      <protection locked="0"/>
    </xf>
    <xf numFmtId="41" fontId="12" fillId="3" borderId="28" xfId="1" applyNumberFormat="1" applyFont="1" applyFill="1" applyBorder="1" applyAlignment="1" applyProtection="1">
      <alignment vertical="top"/>
    </xf>
    <xf numFmtId="41" fontId="10" fillId="4" borderId="27" xfId="1" applyNumberFormat="1" applyFont="1" applyFill="1" applyBorder="1" applyAlignment="1" applyProtection="1">
      <protection locked="0"/>
    </xf>
    <xf numFmtId="41" fontId="12" fillId="3" borderId="28" xfId="1" applyNumberFormat="1" applyFont="1" applyFill="1" applyBorder="1" applyAlignment="1" applyProtection="1"/>
    <xf numFmtId="41" fontId="10" fillId="3" borderId="27" xfId="1" applyNumberFormat="1" applyFont="1" applyFill="1" applyBorder="1" applyAlignment="1" applyProtection="1">
      <alignment horizontal="right"/>
    </xf>
    <xf numFmtId="0" fontId="32" fillId="4" borderId="31" xfId="0" applyFont="1" applyFill="1" applyBorder="1" applyAlignment="1" applyProtection="1">
      <alignment horizontal="center" vertical="center"/>
      <protection locked="0"/>
    </xf>
    <xf numFmtId="0" fontId="8" fillId="7" borderId="32" xfId="0" applyFont="1" applyFill="1" applyBorder="1" applyAlignment="1" applyProtection="1">
      <alignment horizontal="right" vertical="center"/>
    </xf>
    <xf numFmtId="0" fontId="36" fillId="7" borderId="33" xfId="0" applyFont="1" applyFill="1" applyBorder="1" applyAlignment="1" applyProtection="1">
      <alignment horizontal="left" vertical="center"/>
    </xf>
    <xf numFmtId="0" fontId="43" fillId="6" borderId="5" xfId="0" applyFont="1" applyFill="1" applyBorder="1" applyAlignment="1" applyProtection="1">
      <alignment horizontal="right" vertical="top"/>
    </xf>
    <xf numFmtId="10" fontId="44" fillId="6" borderId="37" xfId="2" applyNumberFormat="1" applyFont="1" applyFill="1" applyBorder="1" applyAlignment="1" applyProtection="1">
      <alignment vertical="top"/>
    </xf>
    <xf numFmtId="0" fontId="43" fillId="6" borderId="4" xfId="0" applyFont="1" applyFill="1" applyBorder="1" applyAlignment="1" applyProtection="1">
      <alignment horizontal="right"/>
    </xf>
    <xf numFmtId="42" fontId="43" fillId="4" borderId="36" xfId="3" applyNumberFormat="1" applyFont="1" applyFill="1" applyBorder="1" applyAlignment="1" applyProtection="1">
      <alignment horizontal="center" vertical="center"/>
      <protection locked="0"/>
    </xf>
    <xf numFmtId="10" fontId="44" fillId="6" borderId="5" xfId="2" applyNumberFormat="1" applyFont="1" applyFill="1" applyBorder="1" applyAlignment="1" applyProtection="1">
      <alignment vertical="top"/>
    </xf>
    <xf numFmtId="0" fontId="7" fillId="6" borderId="30" xfId="0" applyFont="1" applyFill="1" applyBorder="1" applyAlignment="1" applyProtection="1">
      <alignment horizontal="right"/>
    </xf>
    <xf numFmtId="168" fontId="42" fillId="6" borderId="5" xfId="2" applyNumberFormat="1" applyFont="1" applyFill="1" applyBorder="1" applyAlignment="1" applyProtection="1">
      <alignment horizontal="left" vertical="center"/>
    </xf>
    <xf numFmtId="0" fontId="34" fillId="2" borderId="1"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0" fontId="41" fillId="2" borderId="2" xfId="0" applyFont="1" applyFill="1" applyBorder="1" applyAlignment="1" applyProtection="1">
      <alignment horizontal="center" vertical="center"/>
    </xf>
    <xf numFmtId="0" fontId="41" fillId="2" borderId="3" xfId="0" applyFont="1" applyFill="1" applyBorder="1" applyAlignment="1" applyProtection="1">
      <alignment horizontal="center" vertical="center"/>
    </xf>
    <xf numFmtId="0" fontId="41" fillId="2" borderId="4"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5" xfId="0" applyFont="1" applyFill="1" applyBorder="1" applyAlignment="1" applyProtection="1">
      <alignment horizontal="center" vertical="center"/>
    </xf>
    <xf numFmtId="0" fontId="41" fillId="2" borderId="34" xfId="0" applyFont="1" applyFill="1" applyBorder="1" applyAlignment="1" applyProtection="1">
      <alignment horizontal="center" vertical="center"/>
    </xf>
    <xf numFmtId="0" fontId="41" fillId="2" borderId="29" xfId="0" applyFont="1" applyFill="1" applyBorder="1" applyAlignment="1" applyProtection="1">
      <alignment horizontal="center" vertical="center"/>
    </xf>
    <xf numFmtId="0" fontId="41" fillId="2" borderId="35" xfId="0" applyFont="1" applyFill="1" applyBorder="1" applyAlignment="1" applyProtection="1">
      <alignment horizontal="center" vertical="center"/>
    </xf>
    <xf numFmtId="0" fontId="40" fillId="4" borderId="0"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10" fontId="20" fillId="3" borderId="24" xfId="2" applyNumberFormat="1" applyFont="1" applyFill="1" applyBorder="1" applyAlignment="1" applyProtection="1">
      <alignment horizontal="center"/>
    </xf>
    <xf numFmtId="10" fontId="20" fillId="3" borderId="17" xfId="2" applyNumberFormat="1" applyFont="1" applyFill="1" applyBorder="1" applyAlignment="1" applyProtection="1">
      <alignment horizontal="center"/>
    </xf>
    <xf numFmtId="10" fontId="20" fillId="3" borderId="0" xfId="2" applyNumberFormat="1" applyFont="1" applyFill="1" applyBorder="1" applyAlignment="1" applyProtection="1">
      <alignment horizontal="center" vertical="center"/>
    </xf>
    <xf numFmtId="10" fontId="20" fillId="3" borderId="5" xfId="2" applyNumberFormat="1" applyFont="1" applyFill="1" applyBorder="1" applyAlignment="1" applyProtection="1">
      <alignment horizontal="center" vertical="center"/>
    </xf>
    <xf numFmtId="3" fontId="31" fillId="6" borderId="4" xfId="2" applyNumberFormat="1" applyFont="1" applyFill="1" applyBorder="1" applyAlignment="1" applyProtection="1">
      <alignment horizontal="left" vertical="top" wrapText="1" indent="1"/>
    </xf>
    <xf numFmtId="3" fontId="31" fillId="6" borderId="0" xfId="2" applyNumberFormat="1" applyFont="1" applyFill="1" applyBorder="1" applyAlignment="1" applyProtection="1">
      <alignment horizontal="left" vertical="top" wrapText="1" indent="1"/>
    </xf>
    <xf numFmtId="3" fontId="31" fillId="6" borderId="5" xfId="2" applyNumberFormat="1" applyFont="1" applyFill="1" applyBorder="1" applyAlignment="1" applyProtection="1">
      <alignment horizontal="left" vertical="top" wrapText="1" indent="1"/>
    </xf>
    <xf numFmtId="0" fontId="38" fillId="6" borderId="4" xfId="0" applyFont="1" applyFill="1" applyBorder="1" applyAlignment="1" applyProtection="1">
      <alignment horizontal="center"/>
    </xf>
    <xf numFmtId="0" fontId="38" fillId="6" borderId="0" xfId="0" applyFont="1" applyFill="1" applyBorder="1" applyAlignment="1" applyProtection="1">
      <alignment horizontal="center"/>
    </xf>
    <xf numFmtId="0" fontId="38" fillId="6" borderId="5" xfId="0" applyFont="1" applyFill="1" applyBorder="1" applyAlignment="1" applyProtection="1">
      <alignment horizontal="center"/>
    </xf>
    <xf numFmtId="0" fontId="39" fillId="6" borderId="4" xfId="0" applyFont="1" applyFill="1" applyBorder="1" applyAlignment="1" applyProtection="1">
      <alignment horizontal="center"/>
    </xf>
    <xf numFmtId="0" fontId="39" fillId="6" borderId="0" xfId="0" applyFont="1" applyFill="1" applyBorder="1" applyAlignment="1" applyProtection="1">
      <alignment horizontal="center"/>
    </xf>
    <xf numFmtId="0" fontId="39" fillId="6" borderId="5" xfId="0" applyFont="1" applyFill="1" applyBorder="1" applyAlignment="1" applyProtection="1">
      <alignment horizontal="center"/>
    </xf>
    <xf numFmtId="10" fontId="20" fillId="3" borderId="25" xfId="2" applyNumberFormat="1" applyFont="1" applyFill="1" applyBorder="1" applyAlignment="1" applyProtection="1">
      <alignment horizontal="center" vertical="top"/>
    </xf>
    <xf numFmtId="10" fontId="20" fillId="3" borderId="18" xfId="2" applyNumberFormat="1" applyFont="1" applyFill="1" applyBorder="1" applyAlignment="1" applyProtection="1">
      <alignment horizontal="center" vertical="top"/>
    </xf>
    <xf numFmtId="10" fontId="20" fillId="3" borderId="26" xfId="2" applyNumberFormat="1" applyFont="1" applyFill="1" applyBorder="1" applyAlignment="1" applyProtection="1">
      <alignment horizontal="center" vertical="center" wrapText="1"/>
    </xf>
    <xf numFmtId="10" fontId="20" fillId="3" borderId="19" xfId="2" applyNumberFormat="1" applyFont="1" applyFill="1" applyBorder="1" applyAlignment="1" applyProtection="1">
      <alignment horizontal="center" vertic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0F8FF"/>
      <color rgb="FF0000FF"/>
      <color rgb="FFFFFFE0"/>
      <color rgb="FFE6E6FA"/>
      <color rgb="FFECF2F8"/>
      <color rgb="FFFFFFCC"/>
      <color rgb="FF041E42"/>
      <color rgb="FF8B8B8B"/>
      <color rgb="FF0351A1"/>
      <color rgb="FF344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37B8-A732-4F91-8835-7C70ADD6FB99}">
  <sheetPr>
    <pageSetUpPr fitToPage="1"/>
  </sheetPr>
  <dimension ref="A1:AC63"/>
  <sheetViews>
    <sheetView tabSelected="1" zoomScaleNormal="100" workbookViewId="0">
      <selection activeCell="B1" sqref="B1:E1"/>
    </sheetView>
  </sheetViews>
  <sheetFormatPr defaultColWidth="9.140625" defaultRowHeight="15"/>
  <cols>
    <col min="1" max="1" width="5.7109375" style="74" customWidth="1"/>
    <col min="2" max="2" width="51.85546875" style="147" bestFit="1" customWidth="1"/>
    <col min="3" max="3" width="10.5703125" style="118" bestFit="1" customWidth="1"/>
    <col min="4" max="5" width="22.7109375" style="119" customWidth="1"/>
    <col min="6" max="6" width="3.7109375" style="146" bestFit="1" customWidth="1"/>
    <col min="7" max="7" width="55" style="92" bestFit="1" customWidth="1"/>
    <col min="8" max="8" width="13.140625" style="148" bestFit="1" customWidth="1"/>
    <col min="9" max="9" width="25.7109375" style="148" customWidth="1"/>
    <col min="10" max="10" width="6" style="74" customWidth="1"/>
    <col min="11" max="11" width="3.7109375" style="1" hidden="1" customWidth="1"/>
    <col min="12" max="12" width="4.28515625" style="1" hidden="1" customWidth="1"/>
    <col min="13" max="13" width="6.85546875" style="1" hidden="1" customWidth="1"/>
    <col min="14" max="14" width="6" style="1" hidden="1" customWidth="1"/>
    <col min="15" max="15" width="8.5703125" style="1" hidden="1" customWidth="1"/>
    <col min="16" max="16" width="7.7109375" style="1" hidden="1" customWidth="1"/>
    <col min="17" max="17" width="6.5703125" style="1" hidden="1" customWidth="1"/>
    <col min="18" max="18" width="11.5703125" style="1" hidden="1" customWidth="1"/>
    <col min="19" max="19" width="18.85546875" style="1" hidden="1" customWidth="1"/>
    <col min="20" max="20" width="15.28515625" style="1" hidden="1" customWidth="1"/>
    <col min="21" max="21" width="6" style="1" customWidth="1"/>
    <col min="22" max="29" width="9.140625" style="1"/>
    <col min="30" max="16384" width="9.140625" style="78"/>
  </cols>
  <sheetData>
    <row r="1" spans="1:29" s="75" customFormat="1" ht="21">
      <c r="A1" s="72"/>
      <c r="B1" s="191" t="s">
        <v>93</v>
      </c>
      <c r="C1" s="191"/>
      <c r="D1" s="191"/>
      <c r="E1" s="191"/>
      <c r="F1" s="130"/>
      <c r="G1" s="73"/>
      <c r="H1" s="130"/>
      <c r="I1" s="130"/>
      <c r="J1" s="74"/>
      <c r="K1" s="1"/>
      <c r="L1" s="1"/>
      <c r="M1" s="1"/>
      <c r="N1" s="1"/>
      <c r="O1" s="1"/>
      <c r="P1" s="1"/>
      <c r="Q1" s="1"/>
      <c r="R1" s="1"/>
      <c r="S1" s="1"/>
      <c r="T1" s="1"/>
      <c r="U1" s="1"/>
      <c r="V1" s="1"/>
      <c r="W1" s="1"/>
      <c r="X1" s="1"/>
      <c r="Y1" s="1"/>
      <c r="Z1" s="1"/>
      <c r="AA1" s="1"/>
      <c r="AB1" s="1"/>
      <c r="AC1" s="1"/>
    </row>
    <row r="2" spans="1:29" s="77" customFormat="1" ht="15.75" thickBot="1">
      <c r="A2" s="76"/>
      <c r="B2" s="44"/>
      <c r="C2" s="39"/>
      <c r="D2" s="9"/>
      <c r="E2" s="9"/>
      <c r="F2" s="130"/>
      <c r="G2" s="73"/>
      <c r="H2" s="130"/>
      <c r="I2" s="130"/>
      <c r="J2" s="74"/>
      <c r="K2" s="1"/>
      <c r="L2" s="1"/>
      <c r="M2" s="1"/>
      <c r="N2" s="1"/>
      <c r="O2" s="1"/>
      <c r="P2" s="1"/>
      <c r="Q2" s="1"/>
      <c r="R2" s="1"/>
      <c r="S2" s="1"/>
      <c r="T2" s="1"/>
      <c r="U2" s="1"/>
      <c r="V2" s="1"/>
      <c r="W2" s="1"/>
      <c r="X2" s="1"/>
      <c r="Y2" s="1"/>
      <c r="Z2" s="1"/>
      <c r="AA2" s="1"/>
      <c r="AB2" s="1"/>
      <c r="AC2" s="1"/>
    </row>
    <row r="3" spans="1:29" ht="24" thickTop="1">
      <c r="B3" s="179" t="s">
        <v>23</v>
      </c>
      <c r="C3" s="180"/>
      <c r="D3" s="180"/>
      <c r="E3" s="181"/>
      <c r="F3" s="130"/>
      <c r="G3" s="179" t="s">
        <v>9</v>
      </c>
      <c r="H3" s="180"/>
      <c r="I3" s="181"/>
      <c r="J3" s="78"/>
      <c r="K3" s="78"/>
      <c r="L3" s="78"/>
      <c r="M3" s="78"/>
      <c r="N3" s="78"/>
      <c r="O3" s="78"/>
      <c r="P3" s="78"/>
      <c r="Q3" s="78"/>
      <c r="R3" s="78"/>
    </row>
    <row r="4" spans="1:29" s="80" customFormat="1" ht="15.75">
      <c r="A4" s="79"/>
      <c r="B4" s="192" t="s">
        <v>46</v>
      </c>
      <c r="C4" s="193"/>
      <c r="D4" s="193"/>
      <c r="E4" s="194"/>
      <c r="F4" s="130"/>
      <c r="G4" s="131"/>
      <c r="H4" s="132"/>
      <c r="I4" s="133"/>
      <c r="S4" s="1"/>
      <c r="T4" s="1"/>
      <c r="U4" s="1"/>
      <c r="V4" s="1"/>
      <c r="W4" s="1"/>
      <c r="X4" s="1"/>
      <c r="Y4" s="1"/>
      <c r="Z4" s="1"/>
      <c r="AA4" s="1"/>
      <c r="AB4" s="1"/>
      <c r="AC4" s="1"/>
    </row>
    <row r="5" spans="1:29" s="80" customFormat="1" ht="15.75">
      <c r="A5" s="79"/>
      <c r="B5" s="40" t="s">
        <v>31</v>
      </c>
      <c r="C5" s="41" t="s">
        <v>39</v>
      </c>
      <c r="D5" s="42" t="s">
        <v>42</v>
      </c>
      <c r="E5" s="43" t="s">
        <v>43</v>
      </c>
      <c r="F5" s="81"/>
      <c r="G5" s="2" t="s">
        <v>8</v>
      </c>
      <c r="H5" s="3">
        <f>C6</f>
        <v>90000</v>
      </c>
      <c r="I5" s="57"/>
      <c r="S5" s="82"/>
      <c r="T5" s="82"/>
      <c r="U5" s="82"/>
      <c r="V5" s="82"/>
      <c r="W5" s="82"/>
      <c r="X5" s="82"/>
      <c r="Y5" s="82"/>
      <c r="Z5" s="82"/>
      <c r="AA5" s="82"/>
      <c r="AB5" s="82"/>
      <c r="AC5" s="82"/>
    </row>
    <row r="6" spans="1:29" s="84" customFormat="1">
      <c r="A6" s="83"/>
      <c r="B6" s="10" t="s">
        <v>8</v>
      </c>
      <c r="C6" s="163">
        <v>90000</v>
      </c>
      <c r="D6" s="11">
        <f>H14*65%-H7</f>
        <v>81430</v>
      </c>
      <c r="E6" s="12">
        <f>H14*70%-H7</f>
        <v>91540</v>
      </c>
      <c r="F6" s="130"/>
      <c r="G6" s="2" t="str">
        <f>IF(H25="NO","Due Diligence, Settlement, Carrying Costs",IF(H25="YES","Due Diligence, Settlement, Carrying Costs, Loan points"))</f>
        <v>Due Diligence, Settlement, Carrying Costs, Loan points</v>
      </c>
      <c r="H6" s="3">
        <f>C13+C28+C38</f>
        <v>11644.235000000001</v>
      </c>
      <c r="I6" s="58"/>
      <c r="S6" s="85"/>
      <c r="T6" s="85"/>
      <c r="U6" s="85"/>
      <c r="V6" s="85"/>
      <c r="W6" s="85"/>
      <c r="X6" s="85"/>
      <c r="Y6" s="85"/>
      <c r="Z6" s="85"/>
      <c r="AA6" s="85"/>
      <c r="AB6" s="85"/>
      <c r="AC6" s="85"/>
    </row>
    <row r="7" spans="1:29" s="84" customFormat="1">
      <c r="A7" s="83"/>
      <c r="B7" s="10"/>
      <c r="C7" s="39"/>
      <c r="D7" s="11"/>
      <c r="E7" s="12"/>
      <c r="F7" s="130"/>
      <c r="G7" s="2" t="s">
        <v>72</v>
      </c>
      <c r="H7" s="156">
        <f>C31</f>
        <v>50000</v>
      </c>
      <c r="I7" s="57"/>
      <c r="S7" s="1"/>
      <c r="T7" s="1"/>
      <c r="U7" s="1"/>
      <c r="V7" s="1"/>
      <c r="W7" s="1"/>
      <c r="X7" s="1"/>
      <c r="Y7" s="1"/>
      <c r="Z7" s="1"/>
      <c r="AA7" s="1"/>
      <c r="AB7" s="1"/>
      <c r="AC7" s="1"/>
    </row>
    <row r="8" spans="1:29" s="80" customFormat="1" ht="15.75">
      <c r="A8" s="79"/>
      <c r="B8" s="40" t="s">
        <v>32</v>
      </c>
      <c r="C8" s="41" t="s">
        <v>39</v>
      </c>
      <c r="D8" s="86"/>
      <c r="E8" s="87"/>
      <c r="F8" s="81"/>
      <c r="G8" s="5" t="s">
        <v>24</v>
      </c>
      <c r="H8" s="6">
        <f>SUM(H5:H7)</f>
        <v>151644.23499999999</v>
      </c>
      <c r="I8" s="59"/>
      <c r="S8" s="82"/>
      <c r="T8" s="82"/>
      <c r="U8" s="82"/>
      <c r="V8" s="82"/>
      <c r="W8" s="82"/>
      <c r="X8" s="82"/>
      <c r="Y8" s="82"/>
      <c r="Z8" s="82"/>
      <c r="AA8" s="82"/>
      <c r="AB8" s="82"/>
      <c r="AC8" s="82"/>
    </row>
    <row r="9" spans="1:29" ht="15.75" thickBot="1">
      <c r="B9" s="13" t="s">
        <v>3</v>
      </c>
      <c r="C9" s="14">
        <v>500</v>
      </c>
      <c r="D9" s="15"/>
      <c r="E9" s="4"/>
      <c r="F9" s="130"/>
      <c r="G9" s="88"/>
      <c r="H9" s="132"/>
      <c r="I9" s="133"/>
      <c r="J9" s="80"/>
      <c r="K9" s="78"/>
      <c r="L9" s="78"/>
      <c r="M9" s="78"/>
      <c r="N9" s="78"/>
      <c r="O9" s="78"/>
      <c r="P9" s="78"/>
      <c r="Q9" s="78"/>
      <c r="R9" s="78"/>
    </row>
    <row r="10" spans="1:29">
      <c r="B10" s="13" t="s">
        <v>6</v>
      </c>
      <c r="C10" s="14">
        <v>400</v>
      </c>
      <c r="D10" s="195" t="s">
        <v>47</v>
      </c>
      <c r="E10" s="196"/>
      <c r="F10" s="130"/>
      <c r="G10" s="2" t="s">
        <v>25</v>
      </c>
      <c r="H10" s="54">
        <f>IF(H25="NO", "No Loan",H35)</f>
        <v>131430</v>
      </c>
      <c r="I10" s="60" t="str">
        <f>IF(H25="NO","",IF(H29&gt;75%,"","   LTV "&amp;TEXT((H10/H14),"0.00%")))</f>
        <v xml:space="preserve">   LTV 65.00%</v>
      </c>
      <c r="J10" s="80"/>
      <c r="K10" s="78"/>
      <c r="L10" s="78"/>
      <c r="M10" s="78"/>
      <c r="N10" s="78"/>
      <c r="O10" s="78"/>
      <c r="P10" s="78"/>
      <c r="Q10" s="78"/>
      <c r="R10" s="78"/>
    </row>
    <row r="11" spans="1:29">
      <c r="B11" s="13" t="s">
        <v>14</v>
      </c>
      <c r="C11" s="14">
        <v>150</v>
      </c>
      <c r="D11" s="197" t="s">
        <v>44</v>
      </c>
      <c r="E11" s="198"/>
      <c r="F11" s="130"/>
      <c r="G11" s="2" t="s">
        <v>26</v>
      </c>
      <c r="H11" s="157">
        <f>IF(H25="NO",(C6+C13+C28+C31+C38),H39)</f>
        <v>20214.234999999986</v>
      </c>
      <c r="I11" s="61"/>
      <c r="J11" s="80"/>
      <c r="K11" s="78"/>
      <c r="L11" s="78"/>
      <c r="M11" s="78"/>
      <c r="N11" s="78"/>
      <c r="O11" s="78"/>
      <c r="P11" s="78"/>
      <c r="Q11" s="78"/>
      <c r="R11" s="78"/>
    </row>
    <row r="12" spans="1:29" ht="15.75" thickBot="1">
      <c r="B12" s="28" t="s">
        <v>12</v>
      </c>
      <c r="C12" s="166">
        <v>0</v>
      </c>
      <c r="D12" s="208" t="s">
        <v>45</v>
      </c>
      <c r="E12" s="209"/>
      <c r="F12" s="130"/>
      <c r="G12" s="5" t="s">
        <v>27</v>
      </c>
      <c r="H12" s="55">
        <f>IF(H25="NO",H11,(H10+H11))</f>
        <v>151644.23499999999</v>
      </c>
      <c r="I12" s="133"/>
      <c r="J12" s="80"/>
      <c r="K12" s="78"/>
      <c r="L12" s="78"/>
      <c r="M12" s="78"/>
      <c r="N12" s="78"/>
      <c r="O12" s="78"/>
      <c r="P12" s="78"/>
      <c r="Q12" s="78"/>
      <c r="R12" s="78"/>
    </row>
    <row r="13" spans="1:29">
      <c r="B13" s="10" t="s">
        <v>17</v>
      </c>
      <c r="C13" s="165">
        <f>SUM(C9:C12)</f>
        <v>1050</v>
      </c>
      <c r="D13" s="9"/>
      <c r="E13" s="4"/>
      <c r="F13" s="130"/>
      <c r="G13" s="88"/>
      <c r="H13" s="89"/>
      <c r="I13" s="133"/>
      <c r="J13" s="80"/>
    </row>
    <row r="14" spans="1:29" s="84" customFormat="1">
      <c r="A14" s="83"/>
      <c r="B14" s="10"/>
      <c r="C14" s="39"/>
      <c r="D14" s="9"/>
      <c r="E14" s="4"/>
      <c r="F14" s="130"/>
      <c r="G14" s="2" t="s">
        <v>68</v>
      </c>
      <c r="H14" s="54">
        <f>C44</f>
        <v>202200</v>
      </c>
      <c r="I14" s="133"/>
      <c r="J14" s="80"/>
      <c r="K14" s="1"/>
      <c r="L14" s="1"/>
      <c r="M14" s="1"/>
      <c r="N14" s="1"/>
      <c r="O14" s="1"/>
      <c r="P14" s="1"/>
      <c r="Q14" s="1"/>
      <c r="R14" s="1"/>
      <c r="S14" s="85"/>
      <c r="T14" s="85"/>
      <c r="U14" s="85"/>
      <c r="V14" s="85"/>
      <c r="W14" s="85"/>
      <c r="X14" s="85"/>
      <c r="Y14" s="85"/>
      <c r="Z14" s="85"/>
      <c r="AA14" s="85"/>
      <c r="AB14" s="85"/>
      <c r="AC14" s="85"/>
    </row>
    <row r="15" spans="1:29" s="84" customFormat="1" ht="15.75">
      <c r="A15" s="83"/>
      <c r="B15" s="40" t="s">
        <v>33</v>
      </c>
      <c r="C15" s="41" t="s">
        <v>39</v>
      </c>
      <c r="D15" s="90" t="s">
        <v>30</v>
      </c>
      <c r="E15" s="87"/>
      <c r="F15" s="130"/>
      <c r="G15" s="2" t="str">
        <f>IF(H25="NO","Resale Transfer Tax, Realtor Commission",IF(H25="YES","Resale Transfer Tax, Realtor Commission, Loan Interest"))</f>
        <v>Resale Transfer Tax, Realtor Commission, Loan Interest</v>
      </c>
      <c r="H15" s="157">
        <f>SUM(C45:C48)</f>
        <v>24028.942500000001</v>
      </c>
      <c r="I15" s="7"/>
      <c r="J15" s="80"/>
      <c r="K15" s="82"/>
      <c r="L15" s="82"/>
      <c r="M15" s="82"/>
      <c r="N15" s="82"/>
      <c r="O15" s="82"/>
      <c r="P15" s="82"/>
      <c r="Q15" s="82"/>
      <c r="R15" s="82"/>
      <c r="S15" s="1"/>
      <c r="T15" s="1"/>
      <c r="U15" s="1"/>
      <c r="V15" s="1"/>
      <c r="W15" s="1"/>
      <c r="X15" s="1"/>
      <c r="Y15" s="1"/>
      <c r="Z15" s="1"/>
      <c r="AA15" s="1"/>
      <c r="AB15" s="1"/>
      <c r="AC15" s="1"/>
    </row>
    <row r="16" spans="1:29" s="80" customFormat="1">
      <c r="A16" s="79"/>
      <c r="B16" s="13" t="s">
        <v>2</v>
      </c>
      <c r="C16" s="14">
        <v>450</v>
      </c>
      <c r="D16" s="18"/>
      <c r="E16" s="4"/>
      <c r="F16" s="81"/>
      <c r="G16" s="88" t="s">
        <v>22</v>
      </c>
      <c r="H16" s="91">
        <f>H14-H15</f>
        <v>178171.0575</v>
      </c>
      <c r="I16" s="133"/>
      <c r="K16" s="85"/>
      <c r="L16" s="85"/>
      <c r="M16" s="85"/>
      <c r="N16" s="85"/>
      <c r="O16" s="85"/>
      <c r="P16" s="85"/>
      <c r="Q16" s="85"/>
      <c r="R16" s="85"/>
      <c r="S16" s="82"/>
      <c r="T16" s="82"/>
      <c r="U16" s="82"/>
      <c r="V16" s="82"/>
      <c r="W16" s="82"/>
      <c r="X16" s="82"/>
      <c r="Y16" s="82"/>
      <c r="Z16" s="82"/>
      <c r="AA16" s="82"/>
      <c r="AB16" s="82"/>
      <c r="AC16" s="82"/>
    </row>
    <row r="17" spans="1:29">
      <c r="B17" s="13" t="s">
        <v>15</v>
      </c>
      <c r="C17" s="14">
        <v>0</v>
      </c>
      <c r="D17" s="18"/>
      <c r="E17" s="4"/>
      <c r="F17" s="130"/>
      <c r="G17" s="88"/>
      <c r="H17" s="132"/>
      <c r="I17" s="133"/>
      <c r="J17" s="80"/>
    </row>
    <row r="18" spans="1:29" ht="15.75" thickBot="1">
      <c r="B18" s="13" t="s">
        <v>13</v>
      </c>
      <c r="C18" s="14">
        <v>250</v>
      </c>
      <c r="D18" s="18"/>
      <c r="E18" s="16"/>
      <c r="F18" s="130"/>
      <c r="G18" s="5" t="s">
        <v>40</v>
      </c>
      <c r="H18" s="53">
        <f>H16-H8</f>
        <v>26526.822500000009</v>
      </c>
      <c r="I18" s="62"/>
      <c r="J18" s="80"/>
      <c r="K18" s="78"/>
      <c r="L18" s="78"/>
      <c r="M18" s="78"/>
      <c r="N18" s="78"/>
      <c r="O18" s="78"/>
      <c r="P18" s="78"/>
      <c r="Q18" s="78"/>
      <c r="R18" s="78"/>
    </row>
    <row r="19" spans="1:29" ht="15.75" thickTop="1">
      <c r="B19" s="13" t="s">
        <v>4</v>
      </c>
      <c r="C19" s="19">
        <f>H14*D19</f>
        <v>1011</v>
      </c>
      <c r="D19" s="158">
        <v>5.0000000000000001E-3</v>
      </c>
      <c r="E19" s="20"/>
      <c r="F19" s="130"/>
      <c r="G19" s="2" t="s">
        <v>41</v>
      </c>
      <c r="H19" s="52">
        <f>H18/H8</f>
        <v>0.17492799841682086</v>
      </c>
      <c r="I19" s="71" t="s">
        <v>84</v>
      </c>
      <c r="J19" s="80"/>
      <c r="K19" s="82"/>
      <c r="L19" s="82"/>
      <c r="M19" s="82"/>
      <c r="N19" s="82"/>
      <c r="O19" s="82"/>
      <c r="P19" s="82"/>
      <c r="Q19" s="82"/>
      <c r="R19" s="82"/>
    </row>
    <row r="20" spans="1:29" ht="15.75" thickBot="1">
      <c r="B20" s="13" t="s">
        <v>5</v>
      </c>
      <c r="C20" s="14">
        <v>200</v>
      </c>
      <c r="D20" s="18"/>
      <c r="E20" s="4"/>
      <c r="F20" s="130"/>
      <c r="G20" s="134"/>
      <c r="H20" s="135"/>
      <c r="I20" s="136"/>
      <c r="J20" s="80"/>
    </row>
    <row r="21" spans="1:29" ht="16.5" thickTop="1" thickBot="1">
      <c r="B21" s="13" t="s">
        <v>28</v>
      </c>
      <c r="C21" s="14">
        <v>250</v>
      </c>
      <c r="D21" s="18"/>
      <c r="E21" s="30" t="s">
        <v>48</v>
      </c>
      <c r="F21" s="130"/>
      <c r="G21" s="73"/>
      <c r="H21" s="130"/>
      <c r="I21" s="130"/>
      <c r="J21" s="80"/>
    </row>
    <row r="22" spans="1:29" ht="16.5" thickTop="1" thickBot="1">
      <c r="B22" s="13" t="s">
        <v>20</v>
      </c>
      <c r="C22" s="19">
        <f>C6*(2/100)</f>
        <v>1800</v>
      </c>
      <c r="D22" s="159">
        <v>0.02</v>
      </c>
      <c r="E22" s="31" t="s">
        <v>49</v>
      </c>
      <c r="F22" s="130"/>
      <c r="G22" s="182" t="s">
        <v>87</v>
      </c>
      <c r="H22" s="183"/>
      <c r="I22" s="184"/>
      <c r="J22" s="80"/>
      <c r="K22" s="78"/>
      <c r="L22" s="78"/>
      <c r="M22" s="78"/>
      <c r="N22" s="78"/>
      <c r="O22" s="78"/>
      <c r="P22" s="78"/>
      <c r="Q22" s="78"/>
      <c r="R22" s="78"/>
      <c r="S22" s="78"/>
    </row>
    <row r="23" spans="1:29" ht="15.75" thickBot="1">
      <c r="B23" s="21" t="s">
        <v>56</v>
      </c>
      <c r="C23" s="22">
        <f>IF(D23&lt;1,(D23*(C44*C35/12)),IF(D23&gt;1,(D23*(C35/12)),0))</f>
        <v>556.04999999999995</v>
      </c>
      <c r="D23" s="160">
        <v>5.4999999999999997E-3</v>
      </c>
      <c r="E23" s="32" t="s">
        <v>55</v>
      </c>
      <c r="F23" s="130"/>
      <c r="G23" s="185"/>
      <c r="H23" s="186"/>
      <c r="I23" s="187"/>
      <c r="J23" s="80"/>
    </row>
    <row r="24" spans="1:29" ht="15.75" thickBot="1">
      <c r="B24" s="13" t="s">
        <v>16</v>
      </c>
      <c r="C24" s="14">
        <v>0</v>
      </c>
      <c r="D24" s="18"/>
      <c r="E24" s="33" t="s">
        <v>50</v>
      </c>
      <c r="F24" s="130"/>
      <c r="G24" s="188"/>
      <c r="H24" s="189"/>
      <c r="I24" s="190"/>
      <c r="J24" s="78"/>
      <c r="K24" s="78"/>
      <c r="L24" s="78"/>
      <c r="M24" s="78"/>
      <c r="N24" s="78"/>
      <c r="O24" s="78"/>
      <c r="P24" s="78"/>
      <c r="Q24" s="78"/>
      <c r="R24" s="78"/>
    </row>
    <row r="25" spans="1:29" ht="16.5" thickBot="1">
      <c r="B25" s="13" t="s">
        <v>69</v>
      </c>
      <c r="C25" s="14">
        <v>1600</v>
      </c>
      <c r="D25" s="18"/>
      <c r="E25" s="33" t="s">
        <v>51</v>
      </c>
      <c r="F25" s="130"/>
      <c r="G25" s="170" t="s">
        <v>73</v>
      </c>
      <c r="H25" s="169" t="s">
        <v>54</v>
      </c>
      <c r="I25" s="171" t="s">
        <v>90</v>
      </c>
      <c r="J25" s="78"/>
      <c r="K25" s="103"/>
      <c r="L25" s="103"/>
      <c r="M25" s="103"/>
      <c r="N25" s="103"/>
      <c r="O25" s="103"/>
      <c r="P25" s="103"/>
      <c r="Q25" s="103"/>
      <c r="R25" s="103"/>
      <c r="S25" s="120"/>
      <c r="T25" s="120"/>
    </row>
    <row r="26" spans="1:29">
      <c r="B26" s="29" t="s">
        <v>59</v>
      </c>
      <c r="C26" s="36">
        <f>IF(H29="",0,IF(H25="NO","No Loan",IF(H31="LTV too high", "LTV too high",IF(H25="YES",IF(H35*H31&lt;2950, 2950,((H35*H31)))))))</f>
        <v>3877.1849999999999</v>
      </c>
      <c r="D26" s="18"/>
      <c r="E26" s="34" t="s">
        <v>52</v>
      </c>
      <c r="F26" s="130"/>
      <c r="G26" s="93"/>
      <c r="H26" s="173"/>
      <c r="I26" s="172"/>
      <c r="J26" s="94"/>
      <c r="K26" s="120"/>
      <c r="L26" s="120"/>
      <c r="M26" s="120"/>
      <c r="N26" s="120"/>
      <c r="O26" s="120"/>
      <c r="P26" s="120"/>
      <c r="Q26" s="120"/>
      <c r="R26" s="120"/>
      <c r="S26" s="120"/>
      <c r="T26" s="120"/>
    </row>
    <row r="27" spans="1:29" ht="15.75" thickBot="1">
      <c r="B27" s="28" t="s">
        <v>12</v>
      </c>
      <c r="C27" s="166">
        <v>0</v>
      </c>
      <c r="D27" s="18"/>
      <c r="E27" s="35" t="s">
        <v>53</v>
      </c>
      <c r="F27" s="130"/>
      <c r="G27" s="174" t="s">
        <v>91</v>
      </c>
      <c r="H27" s="175"/>
      <c r="I27" s="178" t="str">
        <f>IF(H27="","",IF(H27=0,""," the LTV is "&amp;TEXT(I28,"###.####%")&amp;""))</f>
        <v/>
      </c>
      <c r="J27" s="80"/>
      <c r="K27" s="120"/>
      <c r="L27" s="120"/>
      <c r="M27" s="120"/>
      <c r="N27" s="120"/>
      <c r="O27" s="120"/>
      <c r="P27" s="120"/>
      <c r="Q27" s="120"/>
      <c r="R27" s="120"/>
      <c r="S27" s="120"/>
      <c r="T27" s="120"/>
    </row>
    <row r="28" spans="1:29">
      <c r="B28" s="10" t="s">
        <v>18</v>
      </c>
      <c r="C28" s="165">
        <f>SUM(C16:C27)</f>
        <v>9994.2350000000006</v>
      </c>
      <c r="D28" s="9"/>
      <c r="E28" s="4"/>
      <c r="F28" s="130"/>
      <c r="G28" s="93"/>
      <c r="H28" s="177"/>
      <c r="I28" s="176">
        <f>H27/C44</f>
        <v>0</v>
      </c>
      <c r="J28" s="80"/>
      <c r="K28" s="121"/>
      <c r="L28" s="121"/>
      <c r="M28" s="121"/>
      <c r="N28" s="121"/>
      <c r="O28" s="121"/>
      <c r="P28" s="121"/>
      <c r="Q28" s="121"/>
      <c r="R28" s="121"/>
      <c r="S28" s="120"/>
      <c r="T28" s="120"/>
    </row>
    <row r="29" spans="1:29">
      <c r="B29" s="10"/>
      <c r="C29" s="39"/>
      <c r="D29" s="9"/>
      <c r="E29" s="4"/>
      <c r="F29" s="130"/>
      <c r="G29" s="68" t="s">
        <v>88</v>
      </c>
      <c r="H29" s="63">
        <v>0.65</v>
      </c>
      <c r="I29" s="149">
        <f>H35</f>
        <v>131430</v>
      </c>
      <c r="J29" s="80"/>
      <c r="K29" s="129" t="s">
        <v>54</v>
      </c>
      <c r="L29" s="112"/>
      <c r="M29" s="122">
        <v>0.03</v>
      </c>
      <c r="N29" s="122">
        <v>0.02</v>
      </c>
      <c r="O29" s="120"/>
      <c r="P29" s="120"/>
      <c r="Q29" s="120"/>
      <c r="R29" s="120"/>
      <c r="S29" s="120"/>
      <c r="T29" s="120"/>
    </row>
    <row r="30" spans="1:29" s="84" customFormat="1" ht="15.75">
      <c r="A30" s="83"/>
      <c r="B30" s="40" t="s">
        <v>34</v>
      </c>
      <c r="C30" s="41" t="s">
        <v>39</v>
      </c>
      <c r="D30" s="95" t="s">
        <v>19</v>
      </c>
      <c r="E30" s="96" t="s">
        <v>11</v>
      </c>
      <c r="F30" s="130"/>
      <c r="G30" s="69" t="s">
        <v>75</v>
      </c>
      <c r="H30" s="97">
        <f>IF(H29="",M31,IF(H29&lt;65%,M31,IF(H29&gt;75%,"LTV too high",(VLOOKUP(H29,L31:N41,2)))))</f>
        <v>0.1195</v>
      </c>
      <c r="I30" s="149">
        <f>C48</f>
        <v>7852.9425000000001</v>
      </c>
      <c r="J30" s="80"/>
      <c r="K30" s="129" t="s">
        <v>74</v>
      </c>
      <c r="L30" s="123" t="s">
        <v>63</v>
      </c>
      <c r="M30" s="123" t="s">
        <v>64</v>
      </c>
      <c r="N30" s="123" t="s">
        <v>62</v>
      </c>
      <c r="O30" s="124" t="s">
        <v>60</v>
      </c>
      <c r="P30" s="124" t="s">
        <v>61</v>
      </c>
      <c r="Q30" s="124" t="s">
        <v>62</v>
      </c>
      <c r="R30" s="124" t="s">
        <v>65</v>
      </c>
      <c r="S30" s="124" t="s">
        <v>66</v>
      </c>
      <c r="T30" s="124" t="s">
        <v>67</v>
      </c>
      <c r="U30" s="85"/>
      <c r="V30" s="85"/>
      <c r="W30" s="85"/>
      <c r="X30" s="85"/>
      <c r="Y30" s="85"/>
      <c r="Z30" s="85"/>
      <c r="AA30" s="85"/>
      <c r="AB30" s="85"/>
      <c r="AC30" s="85"/>
    </row>
    <row r="31" spans="1:29" s="84" customFormat="1" ht="15.75" thickBot="1">
      <c r="A31" s="83"/>
      <c r="B31" s="23" t="s">
        <v>21</v>
      </c>
      <c r="C31" s="164">
        <v>50000</v>
      </c>
      <c r="D31" s="24">
        <v>45000</v>
      </c>
      <c r="E31" s="25">
        <v>50000</v>
      </c>
      <c r="F31" s="130"/>
      <c r="G31" s="69" t="s">
        <v>7</v>
      </c>
      <c r="H31" s="97">
        <f>IF(H29="",N31,IF(H29&lt;65%,N31,IF(H29&gt;75%,"LTV too high",(VLOOKUP(H29,L31:N41,3)))))</f>
        <v>2.9499999999999998E-2</v>
      </c>
      <c r="I31" s="149">
        <f>C26</f>
        <v>3877.1849999999999</v>
      </c>
      <c r="J31" s="99"/>
      <c r="K31" s="112">
        <v>0</v>
      </c>
      <c r="L31" s="125">
        <v>0.65</v>
      </c>
      <c r="M31" s="126">
        <v>0.1195</v>
      </c>
      <c r="N31" s="126">
        <v>2.9499999999999998E-2</v>
      </c>
      <c r="O31" s="127">
        <f t="shared" ref="O31:O41" si="0">$C$44*L31</f>
        <v>131430</v>
      </c>
      <c r="P31" s="127">
        <f>O31*M31</f>
        <v>15705.885</v>
      </c>
      <c r="Q31" s="128">
        <f>O31*N31</f>
        <v>3877.1849999999999</v>
      </c>
      <c r="R31" s="128"/>
      <c r="S31" s="128"/>
      <c r="T31" s="128"/>
      <c r="U31" s="1"/>
      <c r="V31" s="1"/>
      <c r="W31" s="1"/>
      <c r="X31" s="1"/>
      <c r="Y31" s="1"/>
      <c r="Z31" s="1"/>
      <c r="AA31" s="1"/>
      <c r="AB31" s="1"/>
      <c r="AC31" s="1"/>
    </row>
    <row r="32" spans="1:29" s="80" customFormat="1" ht="30.75" thickBot="1">
      <c r="A32" s="79"/>
      <c r="B32" s="50" t="s">
        <v>70</v>
      </c>
      <c r="C32" s="38">
        <v>10000</v>
      </c>
      <c r="D32" s="210" t="s">
        <v>89</v>
      </c>
      <c r="E32" s="211"/>
      <c r="F32" s="130"/>
      <c r="G32" s="100" t="s">
        <v>78</v>
      </c>
      <c r="H32" s="101"/>
      <c r="I32" s="102"/>
      <c r="J32" s="99"/>
      <c r="K32" s="112">
        <v>1</v>
      </c>
      <c r="L32" s="125">
        <v>0.66</v>
      </c>
      <c r="M32" s="126">
        <f t="shared" ref="M32:M41" si="1">M$31+((M$29/10)*K32)</f>
        <v>0.1225</v>
      </c>
      <c r="N32" s="126">
        <f t="shared" ref="N32:N41" si="2">N$31+((N$29/10)*K32)</f>
        <v>3.15E-2</v>
      </c>
      <c r="O32" s="127">
        <f t="shared" si="0"/>
        <v>133452</v>
      </c>
      <c r="P32" s="127">
        <f t="shared" ref="P32:P41" si="3">O32*M32</f>
        <v>16347.869999999999</v>
      </c>
      <c r="Q32" s="128">
        <f t="shared" ref="Q32:Q41" si="4">O32*N32</f>
        <v>4203.7380000000003</v>
      </c>
      <c r="R32" s="128">
        <f t="shared" ref="R32:R41" si="5">O32-O$31</f>
        <v>2022</v>
      </c>
      <c r="S32" s="128">
        <f t="shared" ref="S32:S41" si="6">(P32-P$31)+(Q32-Q$31)</f>
        <v>968.5379999999991</v>
      </c>
      <c r="T32" s="128">
        <f>R32-S32</f>
        <v>1053.4620000000009</v>
      </c>
      <c r="U32" s="82"/>
      <c r="V32" s="82"/>
      <c r="W32" s="82"/>
      <c r="X32" s="82"/>
      <c r="Y32" s="82"/>
      <c r="Z32" s="82"/>
      <c r="AA32" s="82"/>
      <c r="AB32" s="82"/>
      <c r="AC32" s="82"/>
    </row>
    <row r="33" spans="1:29">
      <c r="B33" s="56"/>
      <c r="C33" s="46"/>
      <c r="D33" s="137"/>
      <c r="E33" s="51"/>
      <c r="F33" s="130"/>
      <c r="G33" s="64" t="s">
        <v>38</v>
      </c>
      <c r="H33" s="65">
        <f>IF(H25="NO","No Loan",IF(H29&gt;75%,0,C31))</f>
        <v>50000</v>
      </c>
      <c r="I33" s="138"/>
      <c r="J33" s="103"/>
      <c r="K33" s="112">
        <v>2</v>
      </c>
      <c r="L33" s="125">
        <v>0.67</v>
      </c>
      <c r="M33" s="126">
        <f t="shared" si="1"/>
        <v>0.1255</v>
      </c>
      <c r="N33" s="126">
        <f t="shared" si="2"/>
        <v>3.3500000000000002E-2</v>
      </c>
      <c r="O33" s="127">
        <f t="shared" si="0"/>
        <v>135474</v>
      </c>
      <c r="P33" s="127">
        <f t="shared" si="3"/>
        <v>17001.987000000001</v>
      </c>
      <c r="Q33" s="128">
        <f t="shared" si="4"/>
        <v>4538.3789999999999</v>
      </c>
      <c r="R33" s="128">
        <f t="shared" si="5"/>
        <v>4044</v>
      </c>
      <c r="S33" s="128">
        <f t="shared" si="6"/>
        <v>1957.2960000000007</v>
      </c>
      <c r="T33" s="128">
        <f t="shared" ref="T33:T41" si="7">R33-S33</f>
        <v>2086.7039999999993</v>
      </c>
      <c r="U33" s="85"/>
      <c r="V33" s="85"/>
      <c r="W33" s="85"/>
      <c r="X33" s="85"/>
      <c r="Y33" s="85"/>
      <c r="Z33" s="85"/>
      <c r="AA33" s="85"/>
      <c r="AB33" s="85"/>
      <c r="AC33" s="85"/>
    </row>
    <row r="34" spans="1:29" s="84" customFormat="1" ht="17.25">
      <c r="A34" s="83"/>
      <c r="B34" s="40" t="s">
        <v>35</v>
      </c>
      <c r="C34" s="41" t="s">
        <v>39</v>
      </c>
      <c r="D34" s="104"/>
      <c r="E34" s="87"/>
      <c r="F34" s="130"/>
      <c r="G34" s="64" t="s">
        <v>37</v>
      </c>
      <c r="H34" s="66">
        <f>IF(H25="NO","No Loan",IF(H29&gt;75%,0,(H35-H33)))</f>
        <v>81430</v>
      </c>
      <c r="I34" s="138"/>
      <c r="J34" s="99"/>
      <c r="K34" s="112">
        <v>3</v>
      </c>
      <c r="L34" s="125">
        <v>0.68</v>
      </c>
      <c r="M34" s="126">
        <f t="shared" si="1"/>
        <v>0.1285</v>
      </c>
      <c r="N34" s="126">
        <f t="shared" si="2"/>
        <v>3.5499999999999997E-2</v>
      </c>
      <c r="O34" s="127">
        <f t="shared" si="0"/>
        <v>137496</v>
      </c>
      <c r="P34" s="127">
        <f t="shared" si="3"/>
        <v>17668.236000000001</v>
      </c>
      <c r="Q34" s="128">
        <f t="shared" si="4"/>
        <v>4881.1079999999993</v>
      </c>
      <c r="R34" s="128">
        <f t="shared" si="5"/>
        <v>6066</v>
      </c>
      <c r="S34" s="128">
        <f t="shared" si="6"/>
        <v>2966.2739999999999</v>
      </c>
      <c r="T34" s="128">
        <f t="shared" si="7"/>
        <v>3099.7260000000001</v>
      </c>
      <c r="U34" s="1"/>
      <c r="V34" s="1"/>
      <c r="W34" s="1"/>
      <c r="X34" s="1"/>
      <c r="Y34" s="1"/>
      <c r="Z34" s="1"/>
      <c r="AA34" s="1"/>
      <c r="AB34" s="1"/>
      <c r="AC34" s="1"/>
    </row>
    <row r="35" spans="1:29" s="84" customFormat="1">
      <c r="A35" s="83"/>
      <c r="B35" s="13" t="s">
        <v>71</v>
      </c>
      <c r="C35" s="14">
        <v>6</v>
      </c>
      <c r="D35" s="17"/>
      <c r="E35" s="16"/>
      <c r="F35" s="130"/>
      <c r="G35" s="64" t="s">
        <v>79</v>
      </c>
      <c r="H35" s="67">
        <f>IF(H25="NO","No Loan",IF(H29&gt;75%,0,(C44*H29)))</f>
        <v>131430</v>
      </c>
      <c r="I35" s="138"/>
      <c r="J35" s="77"/>
      <c r="K35" s="112">
        <v>4</v>
      </c>
      <c r="L35" s="125">
        <v>0.69</v>
      </c>
      <c r="M35" s="126">
        <f t="shared" si="1"/>
        <v>0.13150000000000001</v>
      </c>
      <c r="N35" s="126">
        <f t="shared" si="2"/>
        <v>3.7499999999999999E-2</v>
      </c>
      <c r="O35" s="127">
        <f t="shared" si="0"/>
        <v>139518</v>
      </c>
      <c r="P35" s="127">
        <f t="shared" si="3"/>
        <v>18346.617000000002</v>
      </c>
      <c r="Q35" s="128">
        <f t="shared" si="4"/>
        <v>5231.9250000000002</v>
      </c>
      <c r="R35" s="128">
        <f t="shared" si="5"/>
        <v>8088</v>
      </c>
      <c r="S35" s="128">
        <f t="shared" si="6"/>
        <v>3995.472000000002</v>
      </c>
      <c r="T35" s="128">
        <f t="shared" si="7"/>
        <v>4092.527999999998</v>
      </c>
      <c r="U35" s="1"/>
      <c r="V35" s="1"/>
      <c r="W35" s="1"/>
      <c r="X35" s="1"/>
      <c r="Y35" s="1"/>
      <c r="Z35" s="1"/>
      <c r="AA35" s="1"/>
      <c r="AB35" s="1"/>
      <c r="AC35" s="1"/>
    </row>
    <row r="36" spans="1:29" s="99" customFormat="1">
      <c r="A36" s="79"/>
      <c r="B36" s="13" t="s">
        <v>1</v>
      </c>
      <c r="C36" s="14">
        <v>600</v>
      </c>
      <c r="D36" s="17"/>
      <c r="E36" s="16"/>
      <c r="F36" s="130"/>
      <c r="G36" s="105"/>
      <c r="H36" s="101"/>
      <c r="I36" s="102"/>
      <c r="K36" s="112">
        <v>5</v>
      </c>
      <c r="L36" s="125">
        <v>0.7</v>
      </c>
      <c r="M36" s="126">
        <f t="shared" si="1"/>
        <v>0.13450000000000001</v>
      </c>
      <c r="N36" s="126">
        <f t="shared" si="2"/>
        <v>3.95E-2</v>
      </c>
      <c r="O36" s="127">
        <f t="shared" si="0"/>
        <v>141540</v>
      </c>
      <c r="P36" s="127">
        <f t="shared" si="3"/>
        <v>19037.13</v>
      </c>
      <c r="Q36" s="128">
        <f t="shared" si="4"/>
        <v>5590.83</v>
      </c>
      <c r="R36" s="128">
        <f t="shared" si="5"/>
        <v>10110</v>
      </c>
      <c r="S36" s="128">
        <f t="shared" si="6"/>
        <v>5044.8900000000012</v>
      </c>
      <c r="T36" s="128">
        <f t="shared" si="7"/>
        <v>5065.1099999999988</v>
      </c>
      <c r="U36" s="82"/>
      <c r="V36" s="82"/>
      <c r="W36" s="82"/>
      <c r="X36" s="82"/>
      <c r="Y36" s="82"/>
      <c r="Z36" s="82"/>
      <c r="AA36" s="82"/>
      <c r="AB36" s="82"/>
      <c r="AC36" s="82"/>
    </row>
    <row r="37" spans="1:29" s="103" customFormat="1" ht="16.5" thickBot="1">
      <c r="A37" s="74"/>
      <c r="B37" s="28" t="s">
        <v>12</v>
      </c>
      <c r="C37" s="166">
        <v>0</v>
      </c>
      <c r="D37" s="17"/>
      <c r="E37" s="16"/>
      <c r="F37" s="130"/>
      <c r="G37" s="100" t="s">
        <v>80</v>
      </c>
      <c r="H37" s="106"/>
      <c r="I37" s="102"/>
      <c r="J37" s="99"/>
      <c r="K37" s="112">
        <v>6</v>
      </c>
      <c r="L37" s="125">
        <v>0.71</v>
      </c>
      <c r="M37" s="126">
        <f t="shared" si="1"/>
        <v>0.13750000000000001</v>
      </c>
      <c r="N37" s="126">
        <f t="shared" si="2"/>
        <v>4.1499999999999995E-2</v>
      </c>
      <c r="O37" s="127">
        <f t="shared" si="0"/>
        <v>143562</v>
      </c>
      <c r="P37" s="127">
        <f t="shared" si="3"/>
        <v>19739.775000000001</v>
      </c>
      <c r="Q37" s="128">
        <f t="shared" si="4"/>
        <v>5957.8229999999994</v>
      </c>
      <c r="R37" s="128">
        <f t="shared" si="5"/>
        <v>12132</v>
      </c>
      <c r="S37" s="128">
        <f t="shared" si="6"/>
        <v>6114.5280000000002</v>
      </c>
      <c r="T37" s="128">
        <f t="shared" si="7"/>
        <v>6017.4719999999998</v>
      </c>
      <c r="U37" s="1"/>
      <c r="V37" s="1"/>
      <c r="W37" s="1"/>
      <c r="X37" s="1"/>
      <c r="Y37" s="1"/>
      <c r="Z37" s="1"/>
      <c r="AA37" s="1"/>
      <c r="AB37" s="1"/>
      <c r="AC37" s="1"/>
    </row>
    <row r="38" spans="1:29" s="103" customFormat="1">
      <c r="A38" s="74"/>
      <c r="B38" s="10" t="s">
        <v>29</v>
      </c>
      <c r="C38" s="165">
        <f>SUM(C36:C37)</f>
        <v>600</v>
      </c>
      <c r="D38" s="26"/>
      <c r="E38" s="27"/>
      <c r="F38" s="130"/>
      <c r="G38" s="64" t="s">
        <v>77</v>
      </c>
      <c r="H38" s="67">
        <f>IF(H25="NO","No Loan",IF(H29&gt;75%,0,C32))</f>
        <v>10000</v>
      </c>
      <c r="I38" s="138"/>
      <c r="J38" s="99"/>
      <c r="K38" s="112">
        <v>7</v>
      </c>
      <c r="L38" s="125">
        <v>0.72</v>
      </c>
      <c r="M38" s="126">
        <f t="shared" si="1"/>
        <v>0.14049999999999999</v>
      </c>
      <c r="N38" s="126">
        <f t="shared" si="2"/>
        <v>4.3499999999999997E-2</v>
      </c>
      <c r="O38" s="127">
        <f t="shared" si="0"/>
        <v>145584</v>
      </c>
      <c r="P38" s="127">
        <f t="shared" si="3"/>
        <v>20454.552</v>
      </c>
      <c r="Q38" s="128">
        <f t="shared" si="4"/>
        <v>6332.9039999999995</v>
      </c>
      <c r="R38" s="128">
        <f t="shared" si="5"/>
        <v>14154</v>
      </c>
      <c r="S38" s="128">
        <f t="shared" si="6"/>
        <v>7204.3859999999986</v>
      </c>
      <c r="T38" s="128">
        <f t="shared" si="7"/>
        <v>6949.6140000000014</v>
      </c>
      <c r="U38" s="1"/>
      <c r="V38" s="1"/>
      <c r="W38" s="1"/>
      <c r="X38" s="1"/>
      <c r="Y38" s="1"/>
      <c r="Z38" s="1"/>
      <c r="AA38" s="1"/>
      <c r="AB38" s="1"/>
      <c r="AC38" s="1"/>
    </row>
    <row r="39" spans="1:29" s="103" customFormat="1" ht="17.25">
      <c r="A39" s="74"/>
      <c r="B39" s="10"/>
      <c r="C39" s="39"/>
      <c r="D39" s="26"/>
      <c r="E39" s="27"/>
      <c r="F39" s="130"/>
      <c r="G39" s="64" t="s">
        <v>76</v>
      </c>
      <c r="H39" s="66">
        <f>IF(H25="NO","No Loan",((C6+C13+C28+C31+C38)-H35))</f>
        <v>20214.234999999986</v>
      </c>
      <c r="I39" s="138"/>
      <c r="J39" s="99"/>
      <c r="K39" s="112">
        <v>8</v>
      </c>
      <c r="L39" s="125">
        <v>0.73</v>
      </c>
      <c r="M39" s="126">
        <f t="shared" si="1"/>
        <v>0.14349999999999999</v>
      </c>
      <c r="N39" s="126">
        <f t="shared" si="2"/>
        <v>4.5499999999999999E-2</v>
      </c>
      <c r="O39" s="127">
        <f t="shared" si="0"/>
        <v>147606</v>
      </c>
      <c r="P39" s="127">
        <f t="shared" si="3"/>
        <v>21181.460999999999</v>
      </c>
      <c r="Q39" s="128">
        <f t="shared" si="4"/>
        <v>6716.0729999999994</v>
      </c>
      <c r="R39" s="128">
        <f t="shared" si="5"/>
        <v>16176</v>
      </c>
      <c r="S39" s="128">
        <f t="shared" si="6"/>
        <v>8314.4639999999981</v>
      </c>
      <c r="T39" s="128">
        <f t="shared" si="7"/>
        <v>7861.5360000000019</v>
      </c>
      <c r="U39" s="1"/>
      <c r="V39" s="1"/>
      <c r="W39" s="1"/>
      <c r="X39" s="1"/>
      <c r="Y39" s="1"/>
      <c r="Z39" s="1"/>
      <c r="AA39" s="1"/>
      <c r="AB39" s="1"/>
      <c r="AC39" s="1"/>
    </row>
    <row r="40" spans="1:29" ht="15.75">
      <c r="B40" s="40" t="s">
        <v>36</v>
      </c>
      <c r="C40" s="41" t="s">
        <v>39</v>
      </c>
      <c r="D40" s="107"/>
      <c r="E40" s="108"/>
      <c r="F40" s="130"/>
      <c r="G40" s="64" t="s">
        <v>58</v>
      </c>
      <c r="H40" s="67">
        <f>IF(H25="NO",(C6+C13+C28+C31+C38),IF(H25="YES",(H39+H38)))</f>
        <v>30214.234999999986</v>
      </c>
      <c r="I40" s="138"/>
      <c r="J40" s="99"/>
      <c r="K40" s="112">
        <v>9</v>
      </c>
      <c r="L40" s="125">
        <v>0.74</v>
      </c>
      <c r="M40" s="126">
        <f t="shared" si="1"/>
        <v>0.14649999999999999</v>
      </c>
      <c r="N40" s="126">
        <f t="shared" si="2"/>
        <v>4.7500000000000001E-2</v>
      </c>
      <c r="O40" s="127">
        <f t="shared" si="0"/>
        <v>149628</v>
      </c>
      <c r="P40" s="127">
        <f t="shared" si="3"/>
        <v>21920.502</v>
      </c>
      <c r="Q40" s="128">
        <f t="shared" si="4"/>
        <v>7107.33</v>
      </c>
      <c r="R40" s="128">
        <f t="shared" si="5"/>
        <v>18198</v>
      </c>
      <c r="S40" s="128">
        <f t="shared" si="6"/>
        <v>9444.7620000000006</v>
      </c>
      <c r="T40" s="128">
        <f t="shared" si="7"/>
        <v>8753.2379999999994</v>
      </c>
    </row>
    <row r="41" spans="1:29" s="84" customFormat="1">
      <c r="A41" s="83"/>
      <c r="B41" s="109" t="s">
        <v>82</v>
      </c>
      <c r="C41" s="70">
        <v>210000</v>
      </c>
      <c r="D41" s="110"/>
      <c r="E41" s="111"/>
      <c r="F41" s="130"/>
      <c r="G41" s="150"/>
      <c r="H41" s="151"/>
      <c r="I41" s="152"/>
      <c r="J41" s="99"/>
      <c r="K41" s="112">
        <v>10</v>
      </c>
      <c r="L41" s="125">
        <v>0.75</v>
      </c>
      <c r="M41" s="126">
        <f t="shared" si="1"/>
        <v>0.14949999999999999</v>
      </c>
      <c r="N41" s="126">
        <f t="shared" si="2"/>
        <v>4.9500000000000002E-2</v>
      </c>
      <c r="O41" s="127">
        <f t="shared" si="0"/>
        <v>151650</v>
      </c>
      <c r="P41" s="127">
        <f t="shared" si="3"/>
        <v>22671.674999999999</v>
      </c>
      <c r="Q41" s="128">
        <f t="shared" si="4"/>
        <v>7506.6750000000002</v>
      </c>
      <c r="R41" s="128">
        <f t="shared" si="5"/>
        <v>20220</v>
      </c>
      <c r="S41" s="128">
        <f t="shared" si="6"/>
        <v>10595.279999999999</v>
      </c>
      <c r="T41" s="128">
        <f t="shared" si="7"/>
        <v>9624.7200000000012</v>
      </c>
      <c r="U41" s="85"/>
      <c r="V41" s="85"/>
      <c r="W41" s="85"/>
      <c r="X41" s="85"/>
      <c r="Y41" s="85"/>
      <c r="Z41" s="85"/>
      <c r="AA41" s="85"/>
      <c r="AB41" s="85"/>
      <c r="AC41" s="85"/>
    </row>
    <row r="42" spans="1:29" s="84" customFormat="1">
      <c r="A42" s="83"/>
      <c r="B42" s="109" t="s">
        <v>83</v>
      </c>
      <c r="C42" s="19">
        <f>C41*D42</f>
        <v>6300</v>
      </c>
      <c r="D42" s="37">
        <v>0.03</v>
      </c>
      <c r="E42" s="111"/>
      <c r="F42" s="130"/>
      <c r="G42" s="153"/>
      <c r="H42" s="154"/>
      <c r="I42" s="155"/>
      <c r="J42" s="99"/>
      <c r="K42" s="1"/>
      <c r="L42" s="1"/>
      <c r="M42" s="1"/>
      <c r="N42" s="1"/>
      <c r="O42" s="1"/>
      <c r="P42" s="1"/>
      <c r="Q42" s="1"/>
      <c r="R42" s="1"/>
      <c r="S42" s="85"/>
      <c r="T42" s="1"/>
      <c r="U42" s="1"/>
      <c r="V42" s="1"/>
      <c r="W42" s="1"/>
      <c r="X42" s="1"/>
      <c r="Y42" s="1"/>
      <c r="Z42" s="1"/>
      <c r="AA42" s="1"/>
      <c r="AB42" s="1"/>
      <c r="AC42" s="1"/>
    </row>
    <row r="43" spans="1:29" s="80" customFormat="1" ht="19.5" thickBot="1">
      <c r="A43" s="79"/>
      <c r="B43" s="109" t="s">
        <v>81</v>
      </c>
      <c r="C43" s="166">
        <v>1500</v>
      </c>
      <c r="D43" s="139"/>
      <c r="E43" s="140"/>
      <c r="F43" s="81"/>
      <c r="G43" s="202" t="s">
        <v>85</v>
      </c>
      <c r="H43" s="203"/>
      <c r="I43" s="204"/>
      <c r="J43" s="99"/>
      <c r="K43" s="1"/>
      <c r="L43" s="1"/>
      <c r="M43" s="1"/>
      <c r="N43" s="1"/>
      <c r="O43" s="1"/>
      <c r="P43" s="1"/>
      <c r="Q43" s="1"/>
      <c r="R43" s="1"/>
      <c r="S43" s="1"/>
      <c r="T43" s="82"/>
      <c r="U43" s="82"/>
      <c r="V43" s="82"/>
      <c r="W43" s="82"/>
      <c r="X43" s="82"/>
      <c r="Y43" s="82"/>
      <c r="Z43" s="82"/>
      <c r="AA43" s="82"/>
      <c r="AB43" s="82"/>
      <c r="AC43" s="82"/>
    </row>
    <row r="44" spans="1:29" ht="18.75">
      <c r="B44" s="23" t="s">
        <v>92</v>
      </c>
      <c r="C44" s="167">
        <f>C41-C42-C43</f>
        <v>202200</v>
      </c>
      <c r="D44" s="141"/>
      <c r="E44" s="142"/>
      <c r="F44" s="130"/>
      <c r="G44" s="205" t="s">
        <v>86</v>
      </c>
      <c r="H44" s="206"/>
      <c r="I44" s="207"/>
      <c r="J44" s="99"/>
      <c r="R44" s="85"/>
      <c r="S44" s="82"/>
    </row>
    <row r="45" spans="1:29">
      <c r="B45" s="13" t="s">
        <v>0</v>
      </c>
      <c r="C45" s="19">
        <f>H14*D45</f>
        <v>12132</v>
      </c>
      <c r="D45" s="37">
        <v>0.06</v>
      </c>
      <c r="E45" s="16"/>
      <c r="F45" s="130"/>
      <c r="G45" s="199" t="str">
        <f>"Based on an ARV of " &amp;TEXT(C44,"$#,###,###") &amp;", a loan up to the amount of " &amp;TEXT(O41,"$#,###,###")&amp; " (75% LTV) may be approved with an increased interest rate and points. The interest rate may increase up to 14.95% and points up to 4.95. If you do not have the projected cash-in required, please inquire about an increased loan amount."</f>
        <v>Based on an ARV of $202,200, a loan up to the amount of $151,650 (75% LTV) may be approved with an increased interest rate and points. The interest rate may increase up to 14.95% and points up to 4.95. If you do not have the projected cash-in required, please inquire about an increased loan amount.</v>
      </c>
      <c r="H45" s="200"/>
      <c r="I45" s="201"/>
      <c r="J45" s="99"/>
      <c r="Q45" s="78"/>
    </row>
    <row r="46" spans="1:29" s="103" customFormat="1">
      <c r="A46" s="74"/>
      <c r="B46" s="13" t="s">
        <v>10</v>
      </c>
      <c r="C46" s="19">
        <f>C44*D46</f>
        <v>4044</v>
      </c>
      <c r="D46" s="37">
        <v>0.02</v>
      </c>
      <c r="E46" s="16"/>
      <c r="F46" s="130"/>
      <c r="G46" s="199"/>
      <c r="H46" s="200"/>
      <c r="I46" s="201"/>
      <c r="J46" s="99"/>
      <c r="K46" s="78"/>
      <c r="L46" s="78"/>
      <c r="M46" s="78"/>
      <c r="N46" s="78"/>
      <c r="O46" s="78"/>
      <c r="P46" s="78"/>
      <c r="Q46" s="84"/>
      <c r="R46" s="82"/>
      <c r="S46" s="1"/>
      <c r="T46" s="1"/>
      <c r="U46" s="1"/>
      <c r="V46" s="1"/>
      <c r="W46" s="1"/>
      <c r="X46" s="1"/>
      <c r="Y46" s="1"/>
      <c r="Z46" s="1"/>
      <c r="AA46" s="1"/>
      <c r="AB46" s="1"/>
      <c r="AC46" s="1"/>
    </row>
    <row r="47" spans="1:29" s="103" customFormat="1">
      <c r="A47" s="74"/>
      <c r="B47" s="28" t="s">
        <v>12</v>
      </c>
      <c r="C47" s="14">
        <v>0</v>
      </c>
      <c r="D47" s="132"/>
      <c r="E47" s="133"/>
      <c r="F47" s="130"/>
      <c r="G47" s="199"/>
      <c r="H47" s="200"/>
      <c r="I47" s="201"/>
      <c r="J47" s="99"/>
      <c r="K47" s="84"/>
      <c r="L47" s="84"/>
      <c r="M47" s="84"/>
      <c r="N47" s="84"/>
      <c r="O47" s="84"/>
      <c r="P47" s="84"/>
      <c r="Q47" s="84"/>
      <c r="R47" s="85"/>
      <c r="S47" s="1"/>
      <c r="T47" s="1"/>
      <c r="U47" s="1"/>
      <c r="V47" s="1"/>
      <c r="W47" s="1"/>
      <c r="X47" s="1"/>
      <c r="Y47" s="1"/>
      <c r="Z47" s="1"/>
      <c r="AA47" s="1"/>
      <c r="AB47" s="1"/>
      <c r="AC47" s="1"/>
    </row>
    <row r="48" spans="1:29" s="103" customFormat="1" ht="15.75" thickBot="1">
      <c r="A48" s="74"/>
      <c r="B48" s="29" t="s">
        <v>57</v>
      </c>
      <c r="C48" s="168">
        <f>IF(H25="NO","No Loan",IF(H30="LTV too high","LTV too high",((H35*H30)/12)*C35))</f>
        <v>7852.9425000000001</v>
      </c>
      <c r="D48" s="161" t="str">
        <f>("Based on Project Length of " &amp;C35&amp; " months.")</f>
        <v>Based on Project Length of 6 months.</v>
      </c>
      <c r="E48" s="133"/>
      <c r="F48" s="130"/>
      <c r="G48" s="199"/>
      <c r="H48" s="200"/>
      <c r="I48" s="201"/>
      <c r="J48" s="77"/>
      <c r="K48" s="84"/>
      <c r="L48" s="84"/>
      <c r="M48" s="84"/>
      <c r="N48" s="84"/>
      <c r="O48" s="84"/>
      <c r="P48" s="84"/>
      <c r="Q48" s="80"/>
      <c r="R48" s="1"/>
      <c r="S48" s="1"/>
      <c r="T48" s="1"/>
      <c r="U48" s="1"/>
      <c r="V48" s="1"/>
      <c r="W48" s="1"/>
      <c r="X48" s="1"/>
      <c r="Y48" s="1"/>
      <c r="Z48" s="1"/>
      <c r="AA48" s="1"/>
      <c r="AB48" s="1"/>
      <c r="AC48" s="1"/>
    </row>
    <row r="49" spans="1:29" s="103" customFormat="1">
      <c r="A49" s="74"/>
      <c r="B49" s="10" t="s">
        <v>22</v>
      </c>
      <c r="C49" s="165">
        <f>C44-SUM(C45:C48)</f>
        <v>178171.0575</v>
      </c>
      <c r="D49" s="162"/>
      <c r="E49" s="47"/>
      <c r="F49" s="130"/>
      <c r="G49" s="199"/>
      <c r="H49" s="200"/>
      <c r="I49" s="201"/>
      <c r="J49" s="99"/>
      <c r="K49" s="80"/>
      <c r="L49" s="80"/>
      <c r="M49" s="80"/>
      <c r="N49" s="80"/>
      <c r="O49" s="80"/>
      <c r="P49" s="80"/>
      <c r="Q49" s="78"/>
      <c r="R49" s="1"/>
      <c r="S49" s="1"/>
      <c r="T49" s="1"/>
      <c r="U49" s="1"/>
      <c r="V49" s="1"/>
      <c r="W49" s="1"/>
      <c r="X49" s="1"/>
      <c r="Y49" s="1"/>
      <c r="Z49" s="1"/>
      <c r="AA49" s="1"/>
      <c r="AB49" s="1"/>
      <c r="AC49" s="1"/>
    </row>
    <row r="50" spans="1:29" s="77" customFormat="1" ht="15.75" thickBot="1">
      <c r="A50" s="83"/>
      <c r="B50" s="8"/>
      <c r="C50" s="45"/>
      <c r="D50" s="48"/>
      <c r="E50" s="49"/>
      <c r="F50" s="130"/>
      <c r="G50" s="143"/>
      <c r="H50" s="144"/>
      <c r="I50" s="145"/>
      <c r="J50" s="103"/>
      <c r="K50" s="78"/>
      <c r="L50" s="78"/>
      <c r="M50" s="78"/>
      <c r="N50" s="78"/>
      <c r="O50" s="78"/>
      <c r="P50" s="78"/>
      <c r="Q50" s="78"/>
      <c r="R50" s="82"/>
      <c r="S50" s="1"/>
      <c r="T50" s="85"/>
      <c r="U50" s="85"/>
      <c r="V50" s="85"/>
      <c r="W50" s="85"/>
      <c r="X50" s="85"/>
      <c r="Y50" s="85"/>
      <c r="Z50" s="85"/>
      <c r="AA50" s="85"/>
      <c r="AB50" s="85"/>
      <c r="AC50" s="85"/>
    </row>
    <row r="51" spans="1:29" s="77" customFormat="1" ht="15.75" thickTop="1">
      <c r="A51" s="83"/>
      <c r="F51" s="146"/>
      <c r="J51" s="103"/>
      <c r="K51" s="78"/>
      <c r="L51" s="78"/>
      <c r="M51" s="78"/>
      <c r="N51" s="78"/>
      <c r="O51" s="78"/>
      <c r="P51" s="78"/>
      <c r="Q51" s="1"/>
      <c r="R51" s="1"/>
      <c r="S51" s="85"/>
      <c r="T51" s="1"/>
      <c r="U51" s="1"/>
      <c r="V51" s="1"/>
      <c r="W51" s="1"/>
      <c r="X51" s="1"/>
      <c r="Y51" s="1"/>
      <c r="Z51" s="1"/>
      <c r="AA51" s="1"/>
      <c r="AB51" s="1"/>
      <c r="AC51" s="1"/>
    </row>
    <row r="52" spans="1:29" s="77" customFormat="1">
      <c r="A52" s="76"/>
      <c r="F52" s="146"/>
      <c r="G52" s="84"/>
      <c r="H52" s="84"/>
      <c r="I52" s="84"/>
      <c r="J52" s="84"/>
      <c r="K52" s="84"/>
      <c r="L52" s="84"/>
      <c r="M52" s="84"/>
      <c r="N52" s="84"/>
      <c r="O52" s="84"/>
      <c r="P52" s="84"/>
      <c r="Q52" s="1"/>
      <c r="R52" s="1"/>
      <c r="S52" s="1"/>
      <c r="T52" s="1"/>
      <c r="U52" s="1"/>
      <c r="V52" s="1"/>
      <c r="W52" s="1"/>
      <c r="X52" s="1"/>
      <c r="Y52" s="1"/>
      <c r="Z52" s="1"/>
      <c r="AA52" s="1"/>
      <c r="AB52" s="1"/>
      <c r="AC52" s="1"/>
    </row>
    <row r="53" spans="1:29" s="98" customFormat="1">
      <c r="A53" s="113"/>
      <c r="F53" s="114"/>
      <c r="Q53" s="85"/>
      <c r="R53" s="1"/>
      <c r="S53" s="1"/>
      <c r="T53" s="1"/>
      <c r="U53" s="1"/>
      <c r="V53" s="1"/>
      <c r="W53" s="1"/>
      <c r="X53" s="1"/>
      <c r="Y53" s="1"/>
      <c r="Z53" s="1"/>
      <c r="AA53" s="1"/>
      <c r="AB53" s="1"/>
      <c r="AC53" s="1"/>
    </row>
    <row r="54" spans="1:29" s="116" customFormat="1">
      <c r="A54" s="115"/>
      <c r="F54" s="117"/>
      <c r="Q54" s="1"/>
      <c r="R54" s="1"/>
      <c r="S54" s="1"/>
      <c r="T54" s="1"/>
      <c r="U54" s="1"/>
      <c r="V54" s="1"/>
      <c r="W54" s="1"/>
      <c r="X54" s="1"/>
      <c r="Y54" s="1"/>
      <c r="Z54" s="1"/>
      <c r="AA54" s="1"/>
      <c r="AB54" s="1"/>
      <c r="AC54" s="1"/>
    </row>
    <row r="55" spans="1:29">
      <c r="Q55" s="82"/>
    </row>
    <row r="56" spans="1:29">
      <c r="C56" s="147"/>
      <c r="D56" s="147"/>
      <c r="E56" s="147"/>
      <c r="Q56" s="85"/>
    </row>
    <row r="57" spans="1:29">
      <c r="C57" s="147"/>
      <c r="D57" s="147"/>
      <c r="E57" s="147"/>
    </row>
    <row r="58" spans="1:29">
      <c r="C58" s="147"/>
      <c r="D58" s="147"/>
      <c r="E58" s="147"/>
    </row>
    <row r="59" spans="1:29">
      <c r="C59" s="147"/>
      <c r="D59" s="147"/>
      <c r="E59" s="147"/>
      <c r="Q59" s="82"/>
    </row>
    <row r="60" spans="1:29">
      <c r="C60" s="147"/>
      <c r="D60" s="147"/>
      <c r="E60" s="147"/>
    </row>
    <row r="61" spans="1:29">
      <c r="C61" s="147"/>
      <c r="D61" s="147"/>
      <c r="E61" s="147"/>
    </row>
    <row r="62" spans="1:29">
      <c r="C62" s="147"/>
      <c r="D62" s="147"/>
      <c r="E62" s="147"/>
    </row>
    <row r="63" spans="1:29">
      <c r="C63" s="147"/>
      <c r="D63" s="147"/>
      <c r="E63" s="147"/>
    </row>
  </sheetData>
  <sheetProtection sheet="1" objects="1" scenarios="1"/>
  <mergeCells count="12">
    <mergeCell ref="G45:I49"/>
    <mergeCell ref="G43:I43"/>
    <mergeCell ref="G44:I44"/>
    <mergeCell ref="D12:E12"/>
    <mergeCell ref="D32:E32"/>
    <mergeCell ref="G3:I3"/>
    <mergeCell ref="G22:I24"/>
    <mergeCell ref="B1:E1"/>
    <mergeCell ref="B3:E3"/>
    <mergeCell ref="B4:E4"/>
    <mergeCell ref="D10:E10"/>
    <mergeCell ref="D11:E11"/>
  </mergeCells>
  <dataValidations count="1">
    <dataValidation type="list" operator="greaterThan" showInputMessage="1" showErrorMessage="1" error="Please select YES or NO." prompt="Select YES or NO." sqref="H25" xr:uid="{CB555F78-A7E7-450F-9B26-0D2522AB3802}">
      <formula1>$K$29:$K$30</formula1>
    </dataValidation>
  </dataValidations>
  <printOptions horizontalCentered="1" verticalCentered="1"/>
  <pageMargins left="0.7" right="0.7" top="0.5" bottom="0.5" header="0.3" footer="0.3"/>
  <pageSetup scale="60" orientation="landscape" horizontalDpi="1200" verticalDpi="1200" r:id="rId1"/>
  <ignoredErrors>
    <ignoredError sqref="I3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Borrower's Flip Eval</vt:lpstr>
      <vt:lpstr>'Borrower''s Flip Eval'!Print_Area</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Michael J Ferris</cp:lastModifiedBy>
  <cp:lastPrinted>2019-02-25T22:21:27Z</cp:lastPrinted>
  <dcterms:created xsi:type="dcterms:W3CDTF">2010-06-21T07:17:39Z</dcterms:created>
  <dcterms:modified xsi:type="dcterms:W3CDTF">2019-02-28T00:56:04Z</dcterms:modified>
</cp:coreProperties>
</file>